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Default Extension="gif" ContentType="image/gif"/>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aPasta_de_trabalho" defaultThemeVersion="124226"/>
  <bookViews>
    <workbookView xWindow="-135" yWindow="-90" windowWidth="12120" windowHeight="9120" tabRatio="904" firstSheet="6" activeTab="13"/>
  </bookViews>
  <sheets>
    <sheet name="Anexo I(a)- Receita e Despesa" sheetId="38" r:id="rId1"/>
    <sheet name="Anexo II-RCL" sheetId="45" r:id="rId2"/>
    <sheet name="Anexo III-(a)Metas" sheetId="35" r:id="rId3"/>
    <sheet name="Anexo III-(b)Met." sheetId="11" r:id="rId4"/>
    <sheet name="Anexo III-(c) Res.Nominal" sheetId="47" r:id="rId5"/>
    <sheet name="Anexo III-(d) AA" sheetId="34" r:id="rId6"/>
    <sheet name="Anexo III- (e)-3exer" sheetId="33" r:id="rId7"/>
    <sheet name="Anexo III-(f)EPL" sheetId="32" r:id="rId8"/>
    <sheet name="Anexo III-(g)OAA" sheetId="31" r:id="rId9"/>
    <sheet name="Anexo III-(h)ECRR" sheetId="29" r:id="rId10"/>
    <sheet name="Anexo III-(i) DOCC" sheetId="28" r:id="rId11"/>
    <sheet name="Anexo IV - ARF" sheetId="41" r:id="rId12"/>
    <sheet name="Anexo V-RPA" sheetId="42" r:id="rId13"/>
    <sheet name="Anexo VI -Pessoal" sheetId="43" r:id="rId14"/>
  </sheets>
  <definedNames>
    <definedName name="_Toc81141672" localSheetId="2">'Anexo III-(a)Metas'!#REF!</definedName>
    <definedName name="_Toc81141690" localSheetId="6">'Anexo III- (e)-3exer'!#REF!</definedName>
    <definedName name="_Toc81141697" localSheetId="6">'Anexo III- (e)-3exer'!#REF!</definedName>
    <definedName name="_Toc81141725" localSheetId="10">'Anexo III-(i) DOCC'!#REF!</definedName>
    <definedName name="Ganhos_e_perdas_de_receita" localSheetId="3">#REF!</definedName>
    <definedName name="Ganhos_e_Perdas_de_Receita_99" localSheetId="3">#REF!</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Planilha_1ÁreaTotal" localSheetId="3">#REF!,#REF!</definedName>
    <definedName name="Planilha_1CabGráfico" localSheetId="3">#REF!</definedName>
    <definedName name="Planilha_1TítCols" localSheetId="3">#REF!,#REF!</definedName>
    <definedName name="Planilha_1TítLins" localSheetId="3">#REF!</definedName>
    <definedName name="Planilha_2ÁreaTotal" localSheetId="3">#REF!,#REF!</definedName>
    <definedName name="Planilha_2CabGráfico" localSheetId="3">#REF!</definedName>
    <definedName name="Planilha_2TítCols" localSheetId="3">#REF!,#REF!</definedName>
    <definedName name="Planilha_2TítLins" localSheetId="3">#REF!</definedName>
    <definedName name="Planilha_3ÁreaTotal" localSheetId="3">#REF!,#REF!</definedName>
    <definedName name="Planilha_3CabGráfico" localSheetId="3">#REF!</definedName>
    <definedName name="Planilha_3TítCols" localSheetId="3">#REF!,#REF!</definedName>
    <definedName name="Planilha_3TítLins" localSheetId="3">#REF!</definedName>
    <definedName name="Tabela_1___Déficit_da_Previdência_Social__RGPS" localSheetId="3">#REF!</definedName>
    <definedName name="Tabela_10___Resultado_Primário_do_Governo_Central_em_1999" localSheetId="3">#REF!</definedName>
    <definedName name="Tabela_2___Contribuições_Previdenciárias" localSheetId="3">#REF!</definedName>
    <definedName name="Tabela_3___Benefícios__previsto_x_realizado" localSheetId="3">#REF!</definedName>
    <definedName name="Tabela_4___Receitas_Administradas_pela_SRF__previsto_x_realizado" localSheetId="3">#REF!</definedName>
    <definedName name="Tabela_5___Receitas_Administradas_em_Agosto" localSheetId="3">#REF!</definedName>
    <definedName name="Tabela_6___Receitas_Diretamente_Arrecadadas" localSheetId="3">#REF!</definedName>
    <definedName name="Tabela_7___Déficit_da_Previdência_Social_em_1999" localSheetId="3">#REF!</definedName>
    <definedName name="Tabela_8___Receitas_Administradas__revisão_da_previsão" localSheetId="3">#REF!</definedName>
    <definedName name="Tabela_9___Resultado_Primário_de_1999" localSheetId="3">#REF!</definedName>
  </definedNames>
  <calcPr calcId="125725"/>
</workbook>
</file>

<file path=xl/calcChain.xml><?xml version="1.0" encoding="utf-8"?>
<calcChain xmlns="http://schemas.openxmlformats.org/spreadsheetml/2006/main">
  <c r="C46" i="43"/>
  <c r="C45"/>
  <c r="C43"/>
  <c r="C39"/>
  <c r="C40"/>
  <c r="C41"/>
  <c r="C38"/>
  <c r="F33" i="11"/>
  <c r="F20"/>
  <c r="F19"/>
  <c r="I30" i="38"/>
  <c r="H30"/>
  <c r="H17"/>
  <c r="I17" s="1"/>
  <c r="G11" i="11"/>
  <c r="G16"/>
  <c r="F11"/>
  <c r="B15" i="33"/>
  <c r="C16" l="1"/>
  <c r="D16" i="34" l="1"/>
  <c r="C15" l="1"/>
  <c r="C16"/>
  <c r="C17"/>
  <c r="C18"/>
  <c r="C19"/>
  <c r="C20"/>
  <c r="C14"/>
  <c r="C13"/>
  <c r="F21" i="35"/>
  <c r="F20"/>
  <c r="F19"/>
  <c r="F18"/>
  <c r="F17"/>
  <c r="F16"/>
  <c r="F15"/>
  <c r="F14"/>
  <c r="C21"/>
  <c r="C20"/>
  <c r="C19"/>
  <c r="C18"/>
  <c r="C17"/>
  <c r="C16"/>
  <c r="C15"/>
  <c r="C14"/>
  <c r="J21"/>
  <c r="J20"/>
  <c r="J19"/>
  <c r="J18"/>
  <c r="J17"/>
  <c r="J16"/>
  <c r="J15"/>
  <c r="J14"/>
  <c r="G21"/>
  <c r="G20"/>
  <c r="G19"/>
  <c r="G18"/>
  <c r="G17"/>
  <c r="G16"/>
  <c r="G15"/>
  <c r="G14"/>
  <c r="D15" l="1"/>
  <c r="D16"/>
  <c r="D17"/>
  <c r="D18"/>
  <c r="D19"/>
  <c r="D20"/>
  <c r="D21"/>
  <c r="D14"/>
  <c r="D28" i="31"/>
  <c r="C28"/>
  <c r="D15" i="32"/>
  <c r="F15"/>
  <c r="E20" i="11"/>
  <c r="F32"/>
  <c r="E32"/>
  <c r="D32"/>
  <c r="E10"/>
  <c r="E33" s="1"/>
  <c r="F34"/>
  <c r="E28"/>
  <c r="E24" s="1"/>
  <c r="E21"/>
  <c r="E18"/>
  <c r="E16"/>
  <c r="E15" s="1"/>
  <c r="E12"/>
  <c r="C44"/>
  <c r="C42" s="1"/>
  <c r="C49" s="1"/>
  <c r="B42"/>
  <c r="B43"/>
  <c r="D20"/>
  <c r="D16"/>
  <c r="D15"/>
  <c r="C16"/>
  <c r="C20"/>
  <c r="F50"/>
  <c r="F48"/>
  <c r="F47"/>
  <c r="F46"/>
  <c r="F45"/>
  <c r="F44" s="1"/>
  <c r="D44"/>
  <c r="D42" s="1"/>
  <c r="D49" s="1"/>
  <c r="B44"/>
  <c r="F43"/>
  <c r="B49"/>
  <c r="C41"/>
  <c r="F40"/>
  <c r="F38"/>
  <c r="D37"/>
  <c r="D41" s="1"/>
  <c r="C37"/>
  <c r="B37"/>
  <c r="B41" s="1"/>
  <c r="B32"/>
  <c r="F31"/>
  <c r="F30"/>
  <c r="F29"/>
  <c r="D28"/>
  <c r="C28"/>
  <c r="C24" s="1"/>
  <c r="C32" s="1"/>
  <c r="B28"/>
  <c r="F27"/>
  <c r="F26"/>
  <c r="F25"/>
  <c r="D24"/>
  <c r="B24"/>
  <c r="F23"/>
  <c r="F22"/>
  <c r="D21"/>
  <c r="F21" s="1"/>
  <c r="C21"/>
  <c r="B21"/>
  <c r="C18"/>
  <c r="B20"/>
  <c r="D18"/>
  <c r="F18" s="1"/>
  <c r="B18"/>
  <c r="F17"/>
  <c r="F16"/>
  <c r="C15"/>
  <c r="B15"/>
  <c r="F14"/>
  <c r="F13"/>
  <c r="D12"/>
  <c r="F12" s="1"/>
  <c r="C12"/>
  <c r="B12"/>
  <c r="B10" s="1"/>
  <c r="B33" s="1"/>
  <c r="F11" i="47"/>
  <c r="G11" s="1"/>
  <c r="F10"/>
  <c r="G10" s="1"/>
  <c r="F9"/>
  <c r="G9" s="1"/>
  <c r="F8" l="1"/>
  <c r="F28" i="11"/>
  <c r="F24"/>
  <c r="F42"/>
  <c r="D52"/>
  <c r="E37"/>
  <c r="E41" s="1"/>
  <c r="B52"/>
  <c r="B53"/>
  <c r="F15"/>
  <c r="C10"/>
  <c r="C33"/>
  <c r="F37"/>
  <c r="F41" s="1"/>
  <c r="C52"/>
  <c r="E44"/>
  <c r="E42" s="1"/>
  <c r="E49" s="1"/>
  <c r="F49" s="1"/>
  <c r="D10"/>
  <c r="G8" i="47"/>
  <c r="G12" s="1"/>
  <c r="G15" s="1"/>
  <c r="C8"/>
  <c r="C12" s="1"/>
  <c r="C15" s="1"/>
  <c r="B8"/>
  <c r="B12" s="1"/>
  <c r="B15" s="1"/>
  <c r="F52" i="11" l="1"/>
  <c r="D33"/>
  <c r="F10"/>
  <c r="C53"/>
  <c r="E52"/>
  <c r="E32" i="38"/>
  <c r="E31" s="1"/>
  <c r="E34"/>
  <c r="E43"/>
  <c r="E33"/>
  <c r="E29"/>
  <c r="E23"/>
  <c r="E20"/>
  <c r="E11"/>
  <c r="E48"/>
  <c r="D48"/>
  <c r="C48"/>
  <c r="H43"/>
  <c r="I43" s="1"/>
  <c r="H42"/>
  <c r="H41"/>
  <c r="I41" s="1"/>
  <c r="H36"/>
  <c r="H35"/>
  <c r="H34"/>
  <c r="I34" s="1"/>
  <c r="H33"/>
  <c r="I33" s="1"/>
  <c r="H32"/>
  <c r="I32" s="1"/>
  <c r="H29"/>
  <c r="I29" s="1"/>
  <c r="H28"/>
  <c r="I28" s="1"/>
  <c r="H27"/>
  <c r="I27" s="1"/>
  <c r="H25"/>
  <c r="I25" s="1"/>
  <c r="H23"/>
  <c r="I23" s="1"/>
  <c r="H20"/>
  <c r="I20" s="1"/>
  <c r="H19"/>
  <c r="I19" s="1"/>
  <c r="H15"/>
  <c r="I15" s="1"/>
  <c r="H11"/>
  <c r="I11" s="1"/>
  <c r="F43"/>
  <c r="F33"/>
  <c r="F32"/>
  <c r="F29"/>
  <c r="F23"/>
  <c r="F20"/>
  <c r="F11"/>
  <c r="E38"/>
  <c r="E16"/>
  <c r="E14"/>
  <c r="E10"/>
  <c r="D38"/>
  <c r="C38"/>
  <c r="D31"/>
  <c r="C31"/>
  <c r="D22"/>
  <c r="C22"/>
  <c r="D20"/>
  <c r="D16" s="1"/>
  <c r="C16"/>
  <c r="D14"/>
  <c r="C14"/>
  <c r="D10"/>
  <c r="C10"/>
  <c r="D68" i="42"/>
  <c r="G49" i="11"/>
  <c r="G50"/>
  <c r="G48"/>
  <c r="G45"/>
  <c r="G44" s="1"/>
  <c r="G43"/>
  <c r="G40"/>
  <c r="G39"/>
  <c r="G38"/>
  <c r="G32"/>
  <c r="G31"/>
  <c r="G30"/>
  <c r="G29"/>
  <c r="G28"/>
  <c r="G27"/>
  <c r="G26"/>
  <c r="G24" s="1"/>
  <c r="G25"/>
  <c r="G22"/>
  <c r="G21"/>
  <c r="G19"/>
  <c r="G17"/>
  <c r="B16" i="33"/>
  <c r="K22"/>
  <c r="I22"/>
  <c r="G47" i="11"/>
  <c r="G46"/>
  <c r="G34"/>
  <c r="G23"/>
  <c r="G20"/>
  <c r="G18"/>
  <c r="G14"/>
  <c r="G13"/>
  <c r="G12"/>
  <c r="G15"/>
  <c r="F20" i="34"/>
  <c r="G20" s="1"/>
  <c r="E20"/>
  <c r="F19"/>
  <c r="G19" s="1"/>
  <c r="E19"/>
  <c r="F18"/>
  <c r="G18" s="1"/>
  <c r="E18"/>
  <c r="B17"/>
  <c r="F16"/>
  <c r="G16" s="1"/>
  <c r="E16"/>
  <c r="F15"/>
  <c r="G15" s="1"/>
  <c r="E15"/>
  <c r="F14"/>
  <c r="G14" s="1"/>
  <c r="E14"/>
  <c r="F13"/>
  <c r="G13" s="1"/>
  <c r="E13"/>
  <c r="E8" i="47"/>
  <c r="E12" s="1"/>
  <c r="E15" s="1"/>
  <c r="D8"/>
  <c r="D12" s="1"/>
  <c r="D15" s="1"/>
  <c r="I21" i="35"/>
  <c r="I20"/>
  <c r="I19"/>
  <c r="I18"/>
  <c r="I17"/>
  <c r="I16"/>
  <c r="I15"/>
  <c r="I14"/>
  <c r="E22" i="38" l="1"/>
  <c r="C21"/>
  <c r="C44" s="1"/>
  <c r="D21"/>
  <c r="D44" s="1"/>
  <c r="E18" i="47"/>
  <c r="G37" i="11"/>
  <c r="G41" s="1"/>
  <c r="G52" s="1"/>
  <c r="G42"/>
  <c r="D53"/>
  <c r="G10"/>
  <c r="E21" i="38"/>
  <c r="E44" s="1"/>
  <c r="F17" i="34"/>
  <c r="G17" s="1"/>
  <c r="E17"/>
  <c r="C18" i="47"/>
  <c r="D18"/>
  <c r="H39" i="38"/>
  <c r="F34"/>
  <c r="F31" s="1"/>
  <c r="F10"/>
  <c r="F14"/>
  <c r="F16"/>
  <c r="F22"/>
  <c r="F38"/>
  <c r="G10"/>
  <c r="G14"/>
  <c r="G16"/>
  <c r="G22"/>
  <c r="G31"/>
  <c r="G38"/>
  <c r="E53" i="11" l="1"/>
  <c r="F12" i="47"/>
  <c r="F15" s="1"/>
  <c r="G18" s="1"/>
  <c r="G21" i="38"/>
  <c r="G44" s="1"/>
  <c r="F21"/>
  <c r="F53" i="11" l="1"/>
  <c r="G33"/>
  <c r="F18" i="47"/>
  <c r="G49" i="38"/>
  <c r="G50"/>
  <c r="F44" l="1"/>
  <c r="C77" i="43"/>
  <c r="I16" i="33" l="1"/>
  <c r="G16"/>
  <c r="F48" i="38" l="1"/>
  <c r="H26"/>
  <c r="I26" s="1"/>
  <c r="I22" s="1"/>
  <c r="I42"/>
  <c r="H40"/>
  <c r="I40" s="1"/>
  <c r="I39"/>
  <c r="I36"/>
  <c r="I35"/>
  <c r="J24"/>
  <c r="I31" l="1"/>
  <c r="G48"/>
  <c r="J26"/>
  <c r="J42"/>
  <c r="J23" l="1"/>
  <c r="H31"/>
  <c r="H16"/>
  <c r="I16"/>
  <c r="H10"/>
  <c r="I10"/>
  <c r="J40"/>
  <c r="J35"/>
  <c r="J27"/>
  <c r="J20"/>
  <c r="J43"/>
  <c r="J34"/>
  <c r="J30"/>
  <c r="J19"/>
  <c r="J11"/>
  <c r="H38"/>
  <c r="I38"/>
  <c r="H14"/>
  <c r="I14"/>
  <c r="H22"/>
  <c r="J33"/>
  <c r="J29"/>
  <c r="J25"/>
  <c r="J41"/>
  <c r="J36"/>
  <c r="J32"/>
  <c r="J28"/>
  <c r="J15"/>
  <c r="H21" l="1"/>
  <c r="H44"/>
  <c r="J38"/>
  <c r="I21"/>
  <c r="I44" s="1"/>
  <c r="J14"/>
  <c r="J39"/>
  <c r="J22"/>
  <c r="J10"/>
  <c r="J16"/>
  <c r="J31"/>
  <c r="I49" l="1"/>
  <c r="I50"/>
  <c r="J21"/>
  <c r="H49" l="1"/>
  <c r="H50"/>
  <c r="J44"/>
  <c r="E15" i="29"/>
  <c r="F15" s="1"/>
  <c r="B28" i="31"/>
  <c r="B15" i="32"/>
  <c r="C31" i="33"/>
  <c r="C29"/>
  <c r="C28"/>
  <c r="C27"/>
  <c r="C26"/>
  <c r="C25"/>
  <c r="C24"/>
  <c r="B31"/>
  <c r="B29"/>
  <c r="B28"/>
  <c r="B27"/>
  <c r="B26"/>
  <c r="B25"/>
  <c r="G22"/>
  <c r="E22"/>
  <c r="C22"/>
  <c r="B22"/>
  <c r="B24"/>
  <c r="E31" l="1"/>
  <c r="E29"/>
  <c r="F29" s="1"/>
  <c r="E28"/>
  <c r="E27"/>
  <c r="F27" s="1"/>
  <c r="E26"/>
  <c r="E25"/>
  <c r="F25" s="1"/>
  <c r="E24"/>
  <c r="K37" i="38"/>
  <c r="K20"/>
  <c r="B18" i="41"/>
  <c r="D14" s="1"/>
  <c r="D18" s="1"/>
  <c r="B22" i="28"/>
  <c r="F33" i="29"/>
  <c r="E33"/>
  <c r="D33"/>
  <c r="L19" i="33"/>
  <c r="L17"/>
  <c r="L15"/>
  <c r="L14"/>
  <c r="L13"/>
  <c r="L12"/>
  <c r="J19"/>
  <c r="J17"/>
  <c r="J15"/>
  <c r="J14"/>
  <c r="J13"/>
  <c r="J12"/>
  <c r="H17"/>
  <c r="H19"/>
  <c r="H15"/>
  <c r="H14"/>
  <c r="H12"/>
  <c r="H13"/>
  <c r="F19"/>
  <c r="F17"/>
  <c r="F15"/>
  <c r="F14"/>
  <c r="F13"/>
  <c r="F12"/>
  <c r="D13"/>
  <c r="D14"/>
  <c r="D15"/>
  <c r="D17"/>
  <c r="D19"/>
  <c r="D12"/>
  <c r="K29"/>
  <c r="B9" i="45"/>
  <c r="B20" s="1"/>
  <c r="H16" i="33"/>
  <c r="L16"/>
  <c r="B30"/>
  <c r="D16"/>
  <c r="F16"/>
  <c r="J16"/>
  <c r="D25"/>
  <c r="D27"/>
  <c r="D24"/>
  <c r="D26"/>
  <c r="D31"/>
  <c r="F26"/>
  <c r="K30"/>
  <c r="D28"/>
  <c r="G29" l="1"/>
  <c r="H29" s="1"/>
  <c r="G27"/>
  <c r="H27" s="1"/>
  <c r="G25"/>
  <c r="H25" s="1"/>
  <c r="G30"/>
  <c r="G31"/>
  <c r="H31" s="1"/>
  <c r="G28"/>
  <c r="H28" s="1"/>
  <c r="G26"/>
  <c r="H26" s="1"/>
  <c r="G24"/>
  <c r="H24" s="1"/>
  <c r="K28"/>
  <c r="K25"/>
  <c r="K27"/>
  <c r="K31"/>
  <c r="I31"/>
  <c r="I28"/>
  <c r="I26"/>
  <c r="L26" s="1"/>
  <c r="I24"/>
  <c r="L24" s="1"/>
  <c r="I29"/>
  <c r="L29" s="1"/>
  <c r="I27"/>
  <c r="L27" s="1"/>
  <c r="I25"/>
  <c r="L25" s="1"/>
  <c r="K24"/>
  <c r="K26"/>
  <c r="F24"/>
  <c r="F28"/>
  <c r="F31"/>
  <c r="D29"/>
  <c r="B22" i="45"/>
  <c r="H48" i="38"/>
  <c r="I48" s="1"/>
  <c r="K18"/>
  <c r="K17"/>
  <c r="L31" i="33" l="1"/>
  <c r="L28"/>
  <c r="J27"/>
  <c r="J28"/>
  <c r="J24"/>
  <c r="J25"/>
  <c r="J26"/>
  <c r="J31"/>
  <c r="J29"/>
  <c r="K43" i="38"/>
  <c r="K41"/>
  <c r="K35"/>
  <c r="K33"/>
  <c r="K30"/>
  <c r="K28"/>
  <c r="K26"/>
  <c r="K24"/>
  <c r="K19"/>
  <c r="K10"/>
  <c r="K40"/>
  <c r="K36"/>
  <c r="K32"/>
  <c r="K29"/>
  <c r="K27"/>
  <c r="K25"/>
  <c r="K23"/>
  <c r="K22" l="1"/>
  <c r="K31"/>
  <c r="K16"/>
  <c r="K15"/>
  <c r="K34"/>
  <c r="K42"/>
  <c r="K11"/>
  <c r="K39"/>
  <c r="K14"/>
  <c r="K38"/>
  <c r="K44" l="1"/>
  <c r="K21"/>
  <c r="G53" i="11"/>
</calcChain>
</file>

<file path=xl/comments1.xml><?xml version="1.0" encoding="utf-8"?>
<comments xmlns="http://schemas.openxmlformats.org/spreadsheetml/2006/main">
  <authors>
    <author>Pref Mun de Boa Vista do Cadeado</author>
  </authors>
  <commentList>
    <comment ref="B39" authorId="0">
      <text>
        <r>
          <rPr>
            <b/>
            <sz val="8"/>
            <color indexed="81"/>
            <rFont val="Tahoma"/>
            <family val="2"/>
          </rPr>
          <t>Pref Mun de Boa Vista do Cadeado:</t>
        </r>
        <r>
          <rPr>
            <sz val="8"/>
            <color indexed="81"/>
            <rFont val="Tahoma"/>
            <family val="2"/>
          </rPr>
          <t xml:space="preserve">
</t>
        </r>
      </text>
    </comment>
    <comment ref="B40" authorId="0">
      <text>
        <r>
          <rPr>
            <b/>
            <sz val="8"/>
            <color indexed="81"/>
            <rFont val="Tahoma"/>
            <family val="2"/>
          </rPr>
          <t>Pref Mun de Boa Vista do Cadeado:</t>
        </r>
        <r>
          <rPr>
            <sz val="8"/>
            <color indexed="81"/>
            <rFont val="Tahoma"/>
            <family val="2"/>
          </rPr>
          <t xml:space="preserve">
</t>
        </r>
      </text>
    </comment>
    <comment ref="B42" authorId="0">
      <text>
        <r>
          <rPr>
            <b/>
            <sz val="8"/>
            <color indexed="81"/>
            <rFont val="Tahoma"/>
            <family val="2"/>
          </rPr>
          <t>Pref Mun de Boa Vista do Cadea</t>
        </r>
      </text>
    </comment>
  </commentList>
</comments>
</file>

<file path=xl/sharedStrings.xml><?xml version="1.0" encoding="utf-8"?>
<sst xmlns="http://schemas.openxmlformats.org/spreadsheetml/2006/main" count="707" uniqueCount="538">
  <si>
    <t>Resultado Primário (III) = (I - II)</t>
  </si>
  <si>
    <t>Variação</t>
  </si>
  <si>
    <t xml:space="preserve">TOTAL </t>
  </si>
  <si>
    <t>SALDO FINANCEIRO</t>
  </si>
  <si>
    <t xml:space="preserve">RESULTADO PRIMÁRIO (XIX) = (VII - XVIII) </t>
  </si>
  <si>
    <t xml:space="preserve">        Amortização da Dívida</t>
  </si>
  <si>
    <t xml:space="preserve">    Inversões Financeiras</t>
  </si>
  <si>
    <t>Resultado Nominal</t>
  </si>
  <si>
    <t>I - RECEITAS CORRENTES</t>
  </si>
  <si>
    <t>Contribuições dos Servidores Ativos/Inativos/Pensionistas</t>
  </si>
  <si>
    <t>Receitas do Fundo de Assistência Social dos Servidores</t>
  </si>
  <si>
    <t>Receitas do Fundo de Assistência à Saúde dos Servidores</t>
  </si>
  <si>
    <t>II –DEDUÇÕES</t>
  </si>
  <si>
    <t>Outras Contribuições Sociais</t>
  </si>
  <si>
    <t>Anexo II</t>
  </si>
  <si>
    <t>Total</t>
  </si>
  <si>
    <t xml:space="preserve">                                     Anexo I</t>
  </si>
  <si>
    <t>Anexo IV</t>
  </si>
  <si>
    <t>(a) Metas de Resultado Nominal, Primário e Dívida Pública</t>
  </si>
  <si>
    <t>Resultado Primário (III) = (I – II)</t>
  </si>
  <si>
    <t xml:space="preserve">Dívida Consolidada Líquida </t>
  </si>
  <si>
    <t>(LRF, art.4º, §2º, inciso II)</t>
  </si>
  <si>
    <t>(LRF, art.4º, §2º, inciso III)</t>
  </si>
  <si>
    <t>LEI DE DIRETRIZES ORÇMENTÁRIAS</t>
  </si>
  <si>
    <t xml:space="preserve">        Receita Patrimonial</t>
  </si>
  <si>
    <t xml:space="preserve">        (-) Aplicações Financeiras</t>
  </si>
  <si>
    <t xml:space="preserve">        Dívida Ativa</t>
  </si>
  <si>
    <t xml:space="preserve">        Diversas Receitas Correntes</t>
  </si>
  <si>
    <t xml:space="preserve">        Convênios</t>
  </si>
  <si>
    <t xml:space="preserve">        Outras Transferências de Capital</t>
  </si>
  <si>
    <t xml:space="preserve">    Receita Patrimonial Líquida</t>
  </si>
  <si>
    <t xml:space="preserve">    Demais Receitas Correntes</t>
  </si>
  <si>
    <t xml:space="preserve">    Operações de Crédito (III)</t>
  </si>
  <si>
    <t xml:space="preserve">    Amortização de Empréstimos (IV)</t>
  </si>
  <si>
    <t xml:space="preserve">    Transferências de Capital</t>
  </si>
  <si>
    <t xml:space="preserve">    Juros e Encargos da Dívida (IX)</t>
  </si>
  <si>
    <t xml:space="preserve">        Concessão de Empréstimos (XII)</t>
  </si>
  <si>
    <t xml:space="preserve">        Aquisição de Título de Capital já Integralizado (XIII)</t>
  </si>
  <si>
    <t xml:space="preserve">        Demais Inversões Financeiras</t>
  </si>
  <si>
    <t xml:space="preserve">    Investimentos</t>
  </si>
  <si>
    <t xml:space="preserve">    Amortização da Dívida (XIV)</t>
  </si>
  <si>
    <t>RESERVA DO RPPS (XVII)</t>
  </si>
  <si>
    <t xml:space="preserve">    Alienação de Bens  (V)</t>
  </si>
  <si>
    <t xml:space="preserve">    Receitas de Contribuições</t>
  </si>
  <si>
    <t>RECEITAS REALIZADAS</t>
  </si>
  <si>
    <t>%</t>
  </si>
  <si>
    <t>(a)</t>
  </si>
  <si>
    <t>(b)</t>
  </si>
  <si>
    <t>(c)</t>
  </si>
  <si>
    <t>RECEITAS PRIMÁRIAS</t>
  </si>
  <si>
    <t xml:space="preserve">    Receitas Tributárias</t>
  </si>
  <si>
    <t xml:space="preserve">        Receitas Previdenciárias</t>
  </si>
  <si>
    <t xml:space="preserve">        Outras Receitas de Contribuições</t>
  </si>
  <si>
    <t>RECEITA PRIMÁRIA TOTAL  (VII) = (I + VI)</t>
  </si>
  <si>
    <t>DESPESAS PRIMÁRIAS</t>
  </si>
  <si>
    <t>DESPESAS PRIMÁRIAS CORRENTES (X) = (VIII - IX)</t>
  </si>
  <si>
    <t>DESPESAS PRIMÁRIAS DE CAPITAL (XV) = (XI - XII - XIII - XIV)</t>
  </si>
  <si>
    <t>DESPESA PRIMÁRIA TOTAL (XVIII) = (X + XV + XVI + XVII)</t>
  </si>
  <si>
    <t xml:space="preserve">        Alienação de Bens Móveis</t>
  </si>
  <si>
    <t xml:space="preserve">        Alienação de Bens Imóveis</t>
  </si>
  <si>
    <t>(e)</t>
  </si>
  <si>
    <t>RECEITAS PRIMÁRIAS CORRENTES (I)</t>
  </si>
  <si>
    <t>RECEITAS PRIMÁRIAS DE CAPITAL (VI) = (II - III - IV - V)</t>
  </si>
  <si>
    <t>TOTAL</t>
  </si>
  <si>
    <t>DEMONSTRATIVO DA RECEITA CORRENTE LÍQUIDA</t>
  </si>
  <si>
    <t>ESPECIFICAÇÃO</t>
  </si>
  <si>
    <t xml:space="preserve">    Transferências Correntes</t>
  </si>
  <si>
    <t xml:space="preserve">        Outras Transferências Correntes</t>
  </si>
  <si>
    <t>LEI DE DIRETRIZES ORÇAMENTÁRIAS</t>
  </si>
  <si>
    <t>ANEXO DE  METAS FISCAIS</t>
  </si>
  <si>
    <t>Valor</t>
  </si>
  <si>
    <t>% PIB</t>
  </si>
  <si>
    <t>Corrente</t>
  </si>
  <si>
    <t>(a / PIB)</t>
  </si>
  <si>
    <t>(b / PIB)</t>
  </si>
  <si>
    <t>(c / PIB)</t>
  </si>
  <si>
    <t>x 100</t>
  </si>
  <si>
    <t>Despesas Primárias (II)</t>
  </si>
  <si>
    <t>Resultado Primário (III) = (I–II)</t>
  </si>
  <si>
    <t xml:space="preserve">        Regimes Próprios dos Servidores Públicos  </t>
  </si>
  <si>
    <t xml:space="preserve">   Novas DOCC geradas por PPP</t>
  </si>
  <si>
    <t>Margem Líquida de Expansão de DOCC (V) = (III-IV)</t>
  </si>
  <si>
    <t>Receita Total</t>
  </si>
  <si>
    <t>Receitas Primárias (I)</t>
  </si>
  <si>
    <t>Despesa Total</t>
  </si>
  <si>
    <t xml:space="preserve">Dívida Pública Consolidada </t>
  </si>
  <si>
    <t>Dívida Consolidada Líquida</t>
  </si>
  <si>
    <t>VALORES A PREÇOS CORRENTES</t>
  </si>
  <si>
    <t>Dívida Pública Consolidada</t>
  </si>
  <si>
    <t>VALORES A PREÇOS CONSTANTES</t>
  </si>
  <si>
    <t>PATRIMÔNIO LÍQUIDO</t>
  </si>
  <si>
    <t>Patrimônio/Capital</t>
  </si>
  <si>
    <t>Reservas</t>
  </si>
  <si>
    <t>Resultado Acumulado</t>
  </si>
  <si>
    <t xml:space="preserve">   DESPESAS DE CAPITAL</t>
  </si>
  <si>
    <t xml:space="preserve">         Investimentos</t>
  </si>
  <si>
    <t xml:space="preserve">         Inversões Financeiras</t>
  </si>
  <si>
    <t xml:space="preserve">    DESPESAS CORRENTES DOS REGIMES DE PREVID.</t>
  </si>
  <si>
    <t xml:space="preserve">        Regime Geral de Previdência Social</t>
  </si>
  <si>
    <t>RENÚNCIA DE RECEITA PREVISTA</t>
  </si>
  <si>
    <t>COMPENSAÇÃO</t>
  </si>
  <si>
    <t xml:space="preserve">          -</t>
  </si>
  <si>
    <t>EVENTO</t>
  </si>
  <si>
    <t xml:space="preserve">Aumento Permanente da Receita  </t>
  </si>
  <si>
    <t>(-)  Aumento referente a transferências constitucionais</t>
  </si>
  <si>
    <t>Saldo Final do Aumento Permanente de Receita  (I)</t>
  </si>
  <si>
    <t>Redução Permanente de Despesa (II)</t>
  </si>
  <si>
    <t>Margem Bruta  (III) = (I+II)</t>
  </si>
  <si>
    <t>Saldo Utilizado da Margem Bruta (IV)</t>
  </si>
  <si>
    <t xml:space="preserve">   Novas DOCC</t>
  </si>
  <si>
    <t xml:space="preserve">    Outras Receitas de Capital</t>
  </si>
  <si>
    <t xml:space="preserve">    Pessoal e Encargos Sociais</t>
  </si>
  <si>
    <t xml:space="preserve">    Outras Despesas Correntes</t>
  </si>
  <si>
    <t>RECEITAS DE CAPITAL (II)</t>
  </si>
  <si>
    <t>DESPESAS CORRENTES (VIII)</t>
  </si>
  <si>
    <t>DESPESAS DE CAPITAL (XI)</t>
  </si>
  <si>
    <t>RESERVA DE CONTINGÊNCIA (XVI)</t>
  </si>
  <si>
    <t>ANEXO DE METAS FISCAIS</t>
  </si>
  <si>
    <t>(LRF, art. 4°, § 2°, inciso V)</t>
  </si>
  <si>
    <t>ANEXO DE RISCOS FISCAIS</t>
  </si>
  <si>
    <t>DEMONSTRATIVO DE RISCOS FISCAIS E PROVIDÊNCIAS</t>
  </si>
  <si>
    <t>RISCOS FISCAIS</t>
  </si>
  <si>
    <t>PROVIDÊNCIAS</t>
  </si>
  <si>
    <t>Descrição</t>
  </si>
  <si>
    <t>Anexo V</t>
  </si>
  <si>
    <t>(LRF, art 4º, § 3º)</t>
  </si>
  <si>
    <t>Previsão para conclusão</t>
  </si>
  <si>
    <t>Anexo VI</t>
  </si>
  <si>
    <t>Cargos</t>
  </si>
  <si>
    <t>Legislação</t>
  </si>
  <si>
    <t>Padrão de Remuneração</t>
  </si>
  <si>
    <t>De provimento efetivo</t>
  </si>
  <si>
    <t>Planejamento da Despesa com Pessoal</t>
  </si>
  <si>
    <t>Valor R$ 1,00</t>
  </si>
  <si>
    <t>(-)  Aumento referente a transferências do FUNDEB</t>
  </si>
  <si>
    <t>Compensações Financeiras entre o RGPS e o RPPS</t>
  </si>
  <si>
    <t>Receitas do RPPS – Aplicações em Títulos, Rem. e Outras Receitas</t>
  </si>
  <si>
    <t>RECEITA PATRIMONIAL</t>
  </si>
  <si>
    <t>RECEITA DE SERVIÇOS</t>
  </si>
  <si>
    <t>OUTRAS RECEITAS CORRENTES</t>
  </si>
  <si>
    <t>(Art. 12 da LC nº 101/2.000 e art.  22, III, "a", "b" e "c" da Lei 4.320/64 )</t>
  </si>
  <si>
    <t>Notas: A dívida pública é sem duplicidade, logo, dívidas entre órgãos e fundos não são consideradas.</t>
  </si>
  <si>
    <t>a) Previsão da Receita</t>
  </si>
  <si>
    <t xml:space="preserve">com o mesmo código da conta substituindo-se o dígito "4" pelo "9" e, assim, neste demonstrativo, </t>
  </si>
  <si>
    <t>figura nas "outras deduções".</t>
  </si>
  <si>
    <t>Notas:</t>
  </si>
  <si>
    <t xml:space="preserve">a) As deduções com o Fundeb, já que são contas redutoras da receita, devem ser contabilizadas </t>
  </si>
  <si>
    <t>b) Os estornos de restos a pagar não são considerados no orçamento.</t>
  </si>
  <si>
    <t>Totais</t>
  </si>
  <si>
    <t>Criação - Nº cargos</t>
  </si>
  <si>
    <t>Ocupação - Nº cargos</t>
  </si>
  <si>
    <t>Aumento em R$ ref criação e ocupação</t>
  </si>
  <si>
    <t>Aumentos reais previstos</t>
  </si>
  <si>
    <t>Total ref. Aumento de despesa com pessoal</t>
  </si>
  <si>
    <t>TRIBUTO</t>
  </si>
  <si>
    <t>MODALIDADE</t>
  </si>
  <si>
    <t>SETORES/ PROGRAMAS/ BENEFICIÁRIO</t>
  </si>
  <si>
    <t xml:space="preserve"> (LRF, art. 4°, § 2°, inciso V)</t>
  </si>
  <si>
    <t>Cargos Existentes</t>
  </si>
  <si>
    <t>Cargos Ocupados</t>
  </si>
  <si>
    <t>Cargos Vagos</t>
  </si>
  <si>
    <t>IRRF sobre Rendimento do Trabalho*</t>
  </si>
  <si>
    <t>Cancelamento de restos a pagar (quando lançado ainda como receita)</t>
  </si>
  <si>
    <t>Deduções de receitas de Fundeb (característica peculiar 105)</t>
  </si>
  <si>
    <t>III-Subtotal</t>
  </si>
  <si>
    <t>IV- (+)Perda para o Fundeb</t>
  </si>
  <si>
    <t>V - RECEITA CORRENTE LÍQUIDA (I-II+III)</t>
  </si>
  <si>
    <t>c) Demonstrativo como base a IN 35/2008 atualizada pela IN 03/2009 TCERS</t>
  </si>
  <si>
    <t>Outras Deduções de Receitas (CP 101, 102, 103, 104, 106, 108 E 109 )</t>
  </si>
  <si>
    <t>Anexo III - Anexo de Metas Fiscais</t>
  </si>
  <si>
    <t>(d) Avaliação do cumprimento das metas fiscais do exercício anterior</t>
  </si>
  <si>
    <t>Anexo III</t>
  </si>
  <si>
    <t>(c ) MEMÓRIA DE CÁLCULO RESULTADO NOMINAL</t>
  </si>
  <si>
    <t>Multiplicar o valor corrente por....................</t>
  </si>
  <si>
    <t>Dividir o valor corrente por............................</t>
  </si>
  <si>
    <t>Inflação (IPCA)</t>
  </si>
  <si>
    <t>P. 36 do MTDF - Manual de Gestão Fiscal, comentários ao Demonstrativo da Dívida Consolidada Líquida</t>
  </si>
  <si>
    <t>(f) Evolução do Patrimônio Líquido</t>
  </si>
  <si>
    <t>(e) Metas fiscais atuais comparadas com as fixadas nos três exercícios anteriores</t>
  </si>
  <si>
    <t xml:space="preserve">Anexo III </t>
  </si>
  <si>
    <t>(g) Origem e aplicação dos recursos obtidos com a alienação de ativos</t>
  </si>
  <si>
    <t>( c)</t>
  </si>
  <si>
    <t>(d)</t>
  </si>
  <si>
    <t>(f)</t>
  </si>
  <si>
    <t>(g) = ((Ia – IId) + IIIh)</t>
  </si>
  <si>
    <t>(h) = ((Ib – IIe) + IIIi)</t>
  </si>
  <si>
    <t>(i) = (Ic – IIf)</t>
  </si>
  <si>
    <t>RECEITAS DE CAPITAL – ALIENAÇÃO DE ATIVOS (I)</t>
  </si>
  <si>
    <t>DESPESAS EXECUTADAS</t>
  </si>
  <si>
    <t>APLICAÇÃO DOS RECURSOS DA ALIENAÇÃO DE ATIVOS (II)</t>
  </si>
  <si>
    <t>Valor (III)</t>
  </si>
  <si>
    <t>RECEITAS</t>
  </si>
  <si>
    <t>Gratificações</t>
  </si>
  <si>
    <t>DESCRIÇÃO</t>
  </si>
  <si>
    <t xml:space="preserve">             RECEITA REALIZADA</t>
  </si>
  <si>
    <t>PROJEÇÃO</t>
  </si>
  <si>
    <t>ANO 2011</t>
  </si>
  <si>
    <t>ANO 2012</t>
  </si>
  <si>
    <t>RECEITA TRIBUÁRIA</t>
  </si>
  <si>
    <t>IMPOSTOS</t>
  </si>
  <si>
    <t>TAXAS</t>
  </si>
  <si>
    <t>CONTRIBUIÇÃO DE MELHORIA</t>
  </si>
  <si>
    <t>RECEITA DE VALORES IMOBILIARIOS</t>
  </si>
  <si>
    <t>SERVIÇOS DE COMUNICAÇÃO</t>
  </si>
  <si>
    <t>SERVIÇOS DE ADMINISTRATIVOS</t>
  </si>
  <si>
    <t>SERVIÇOS DE CAPT. E DISTR DE ÁGUA</t>
  </si>
  <si>
    <t>OUTROS SERVIÇOS</t>
  </si>
  <si>
    <t>TRANSFERENCIAS CORRENTES</t>
  </si>
  <si>
    <t>TRASFERENCIAS DA UNIÃO</t>
  </si>
  <si>
    <t>COTA-PARTE DO FPM</t>
  </si>
  <si>
    <t>COTA-PARTE DO ITR</t>
  </si>
  <si>
    <t>OUTRAS TRANS DA UNIÃO</t>
  </si>
  <si>
    <t>TRANSF. COM EXPL REC. NAT</t>
  </si>
  <si>
    <t>TRANSF. ICMS/LEI KANDIR</t>
  </si>
  <si>
    <t>TRANSF. REC. DO SUS</t>
  </si>
  <si>
    <t>TRANSF. DO FNAS</t>
  </si>
  <si>
    <t>TRASNF. FNDE</t>
  </si>
  <si>
    <t>TRASFERENCIAS DOS ESTADOS</t>
  </si>
  <si>
    <t>COTA-PARTE DO ICMS</t>
  </si>
  <si>
    <t>COTA-PARTE DO IPVA</t>
  </si>
  <si>
    <t>COTA-PARTE DO IPI EXPORTAÇÃO</t>
  </si>
  <si>
    <t>TRANSF. DA CIDE</t>
  </si>
  <si>
    <t>TRANSF. ESTADO P/PROG SAÚDE</t>
  </si>
  <si>
    <t>OUTRAS TRANSF. DO ESTADO</t>
  </si>
  <si>
    <t>TRASNF. MULTIGOVERNAMENTAIS</t>
  </si>
  <si>
    <t>TRANSF.FUNDEF/FUNDEB</t>
  </si>
  <si>
    <t>TRASNF. DE CONVÊNIOS</t>
  </si>
  <si>
    <t>RECEITA DE CAPITAL</t>
  </si>
  <si>
    <t xml:space="preserve">(-) </t>
  </si>
  <si>
    <t>TOTAL DAS RECEITAS</t>
  </si>
  <si>
    <t>METOLOGIA DE CÁLCULO:</t>
  </si>
  <si>
    <t xml:space="preserve">b) Metodologia de Cálculo               </t>
  </si>
  <si>
    <t>d) índice de Legislação significa o percentual de aumento de alíquota em relação ao ano anterior.</t>
  </si>
  <si>
    <t>foram considerados a taxa de crescimento de 4,5% a.a.</t>
  </si>
  <si>
    <t xml:space="preserve">Prefeito Municipal </t>
  </si>
  <si>
    <t>Mauricio da Rosa</t>
  </si>
  <si>
    <t>Contador</t>
  </si>
  <si>
    <t xml:space="preserve">             Fundação de Economia e Estatística do Rio Grande do Sul - FEE</t>
  </si>
  <si>
    <t>d) De acordo com a instrução normativas do TCERS, existe um aumento da receita corrente líquida.</t>
  </si>
  <si>
    <t>Prefeito Municipal                                       Contador CRC/RS 68.238 0-6</t>
  </si>
  <si>
    <t xml:space="preserve">   Sec. Admin, Planej e Fazenda</t>
  </si>
  <si>
    <t>Metodologia de Cálculo:</t>
  </si>
  <si>
    <t xml:space="preserve">Metodologia de Cálculo:        </t>
  </si>
  <si>
    <t>Fonte: Sec. Administração, Planejamento e Fazenda</t>
  </si>
  <si>
    <t>FONTE: Secretaria de Administração, Planejamento e Fazenda</t>
  </si>
  <si>
    <t> FONTE: Secretaria de Administração, Planejamento e Fazenda</t>
  </si>
  <si>
    <t>Nota: No presente temos em analise horizontal das metas fiscais fixadas nos ultimos três exercicios, conforme Lei de Diretrizes Anteriores e a projeção para o exercício de futuros sendo a projeção de meta de variação do Estado, em 4,5%, a.a. de variação em percentual.</t>
  </si>
  <si>
    <t>FONTE: SECRETARIA DE ADMINISTRAÇÃO, PLANEJAMENTO E FAZENDA</t>
  </si>
  <si>
    <t>ITPU</t>
  </si>
  <si>
    <t>IMPOSTO</t>
  </si>
  <si>
    <t>AREA URBANA</t>
  </si>
  <si>
    <t>cfe codigo tríbutario</t>
  </si>
  <si>
    <t>FONTE: Secretaria de Administração, Planejmaneto e Fazenda</t>
  </si>
  <si>
    <t>Nota: O desconto acima está previsto no código tributário do município conforme a Lei Complementar nº 01/2001, Art. 201.</t>
  </si>
  <si>
    <t>Nota:</t>
  </si>
  <si>
    <t xml:space="preserve">1  -  A demonstração da margem de expansão das despesas obrigatórias de caráter continuado visa </t>
  </si>
  <si>
    <t xml:space="preserve">2 -  A metodologia empregada, baseou-se naquela atualmente empregada pelo Secretaria do Tesouro Nacional, </t>
  </si>
  <si>
    <t>3 - Assim, consideramos o efeito da variação do PIB sobre as Receitas Tributárias e sobre as Transfe</t>
  </si>
  <si>
    <t>rências Correntes, que são as fontes que concentram as receitas passíveis de indicação como forma</t>
  </si>
  <si>
    <t>de compensação para o aumento das  DOCC, na forma do art. 17, § 3º da LRF, ocorridas em anos anteriores.</t>
  </si>
  <si>
    <t>4 - No impacto de Novas  DOCC, foi considerado o aumento de despesas com pessoal e encargos de</t>
  </si>
  <si>
    <t>corrente do crescimento vegetativo da folha e da concessão de aumento salarial. Para as outras despe</t>
  </si>
  <si>
    <t>sas correntes, consideramos o aumento decorrente da variação real (acima da inflação, desse grupo de</t>
  </si>
  <si>
    <t>despesas).</t>
  </si>
  <si>
    <t>Eventos da Natureza (RF)</t>
  </si>
  <si>
    <t>Provisão para a não-cobrança de tributos lançados (RF)</t>
  </si>
  <si>
    <t>Outros eventos fiscais não previstos (EI)</t>
  </si>
  <si>
    <t>CONSERVAÇÃO DO PATRIMÔNIO PÚBLICO E PROVIDÊNCIAS A SEREM ADOTADAS PELO EXECUTIVO (Art. 45, § único, da LRF).</t>
  </si>
  <si>
    <t>Projetos em Andamento</t>
  </si>
  <si>
    <t>Previsão de Custo p/ conclusão</t>
  </si>
  <si>
    <t>Aquisição de Veículos</t>
  </si>
  <si>
    <t>2 – Informações sobre a conservação do Patrimônio Público</t>
  </si>
  <si>
    <t>Desenvolvimento de Grupo do Leite Cadeado</t>
  </si>
  <si>
    <t xml:space="preserve">            Secretaria Administração, Planejamento e Fazenda de Boa Vista do Cadeado.</t>
  </si>
  <si>
    <t>* A STN veda, no manual do RREO, a dedução do IRRF para efeitos de apuração da RCL</t>
  </si>
  <si>
    <t>Contrapartidas de Eventuais Convênios e Créditos Adicionais Orçamentárias (EC)</t>
  </si>
  <si>
    <t>Cód. Ação PPA e LDO</t>
  </si>
  <si>
    <t>(h) Estimativa da Compensação e Renúncia da Receita</t>
  </si>
  <si>
    <t>(i) Margem de Expansão das Despesas Obrigatórias de Caráter Continuado</t>
  </si>
  <si>
    <t>ANO 2013</t>
  </si>
  <si>
    <t>DEDUÇÕES DA RECEITA</t>
  </si>
  <si>
    <t>Despesas Realizadas</t>
  </si>
  <si>
    <t>Despesas Projetadas</t>
  </si>
  <si>
    <t>Despesas Correntes</t>
  </si>
  <si>
    <t>Despesas de Capital</t>
  </si>
  <si>
    <t xml:space="preserve">Manutenção de Recursos em Reserva </t>
  </si>
  <si>
    <t>de Contingência</t>
  </si>
  <si>
    <t>Aquisição de Material e equipamento</t>
  </si>
  <si>
    <t>Aquisição de material e equipamento de administração</t>
  </si>
  <si>
    <t>Aquisição do veículo</t>
  </si>
  <si>
    <t>Aquisição de material e equip. permanente da educação</t>
  </si>
  <si>
    <t>Aquisição de material e equip. permanente da agricultura</t>
  </si>
  <si>
    <t>Aquisição de material e equip. permanente das obras</t>
  </si>
  <si>
    <t>Aquisição de material e equip. permanente da fazenda</t>
  </si>
  <si>
    <t>Ampliação do parque de máquinas</t>
  </si>
  <si>
    <t>Incentivo a melhoria de arrecadação</t>
  </si>
  <si>
    <t>Aquisição de material e equip. permanente</t>
  </si>
  <si>
    <t>Ampliação do posto de saúde</t>
  </si>
  <si>
    <t>Aquisição de veículo</t>
  </si>
  <si>
    <t>Aqusição de material e equip. permanente na ação comunitária</t>
  </si>
  <si>
    <t>Estruturação e construção do centro da melhor idade</t>
  </si>
  <si>
    <t>Contrução de moradias urbanas</t>
  </si>
  <si>
    <t>Construção de moradias rurais</t>
  </si>
  <si>
    <t>Confecção de lajotas</t>
  </si>
  <si>
    <t>Reformas de moradias</t>
  </si>
  <si>
    <t>Aquisição de veículos</t>
  </si>
  <si>
    <t>Ampliação e estruturação da escolas</t>
  </si>
  <si>
    <t>Aquisição de materail e equip. permanente escolas municipais</t>
  </si>
  <si>
    <t>Implantação do laboratório de informática</t>
  </si>
  <si>
    <t>Aquisição de Equip. e Mat. Permanente escolas municipais</t>
  </si>
  <si>
    <t>Infraestrutura da biblioteca e museu municipal</t>
  </si>
  <si>
    <t>Aqusição de material e equp. Permanente da cultura</t>
  </si>
  <si>
    <t>Amplaição e estruturação do ginásio municipal</t>
  </si>
  <si>
    <t>Aquisição de material e equip. permanete para esporte e lazer</t>
  </si>
  <si>
    <t>Desenvolvimento da psicultura e apicultura</t>
  </si>
  <si>
    <t>Aquisição de material e equip. permanete para patrulha agrícola</t>
  </si>
  <si>
    <t>Ampliação e melhorias na estrutura do parq.de rodeios e exposição</t>
  </si>
  <si>
    <t>Ampliar a rede de iluminação pública</t>
  </si>
  <si>
    <t>Ampliação do cemitério</t>
  </si>
  <si>
    <t>Melhorias e limpeza de praças</t>
  </si>
  <si>
    <t>Contrução de abrigo para de ônibus</t>
  </si>
  <si>
    <t>Ampliação da rede rural de àgua</t>
  </si>
  <si>
    <t>Ampliar a rede urbana de àgua</t>
  </si>
  <si>
    <t>Pavimentação de vias</t>
  </si>
  <si>
    <t>Sinalização e conservação de vias</t>
  </si>
  <si>
    <t>Construção e reformas de pontes</t>
  </si>
  <si>
    <t>Aquisção de máquinas rodoviárias e veículos</t>
  </si>
  <si>
    <t>Desenvolvimento para industrial e agroindustrial</t>
  </si>
  <si>
    <t>Contrução de infratestrutura ddas antenas retransmissora</t>
  </si>
  <si>
    <t>Contrução de módulos sanitários</t>
  </si>
  <si>
    <t>Central de Triagem de resíduos sólidos urbanos e aterro sanitário</t>
  </si>
  <si>
    <t>Desenvolvimento da fruticulatura e hortigranjeiros</t>
  </si>
  <si>
    <t xml:space="preserve"> O presente patrimônio, está passando por inventário, o qual já apresentou resultandos e da mesma forma estão finalizando as informções geradas, para ao final do exercício realizar a consolidação das informações.</t>
  </si>
  <si>
    <t>LC 011/2003</t>
  </si>
  <si>
    <t>Professor Nivel I</t>
  </si>
  <si>
    <t>Professor Nivel II</t>
  </si>
  <si>
    <t>Professor Nivel III</t>
  </si>
  <si>
    <t>LC 010/2003</t>
  </si>
  <si>
    <t>Operário - padrão 01</t>
  </si>
  <si>
    <t>Aux. Serv. Gerais- padrão 01</t>
  </si>
  <si>
    <t>Vigilante - padrão 01</t>
  </si>
  <si>
    <t>Oper. Esp-padrão 02</t>
  </si>
  <si>
    <t>Eletricista-padrão04</t>
  </si>
  <si>
    <t>Op.maq- padrão04</t>
  </si>
  <si>
    <t>Motorista- padrão04</t>
  </si>
  <si>
    <t>Visitador - padrão03</t>
  </si>
  <si>
    <t>Epidemiologico-padrão03</t>
  </si>
  <si>
    <t>Agente Saúde-padrão03</t>
  </si>
  <si>
    <t>Ag.AdAux-padrão 04</t>
  </si>
  <si>
    <t>Ag.Admpadrão 05</t>
  </si>
  <si>
    <t>Ag.Tributario-padrão06</t>
  </si>
  <si>
    <t>Sec Escola-padrão05</t>
  </si>
  <si>
    <t>Tec. Contabil-padrão07</t>
  </si>
  <si>
    <t>F.Sanitario-padrão 05</t>
  </si>
  <si>
    <t>Tesoureiro-padrão07</t>
  </si>
  <si>
    <t>Anal.RH-padrão07</t>
  </si>
  <si>
    <t>Fisioterapeuta-padrão08 *</t>
  </si>
  <si>
    <t>Nutricionista-padrão08 *</t>
  </si>
  <si>
    <t>Medico -padrão 10</t>
  </si>
  <si>
    <t>Engenheiro-padrão09 *</t>
  </si>
  <si>
    <t>Veterinario-padrão09</t>
  </si>
  <si>
    <t>Farmaceutico-padrão09 *</t>
  </si>
  <si>
    <t>Odontologo-padrão11 *</t>
  </si>
  <si>
    <t>Enfermeiro-padrão12</t>
  </si>
  <si>
    <t>Contador-padrão13</t>
  </si>
  <si>
    <t>Medico Geral-padrão14</t>
  </si>
  <si>
    <t>Em comissão e Funções de Confiança</t>
  </si>
  <si>
    <t xml:space="preserve">Fg 1 </t>
  </si>
  <si>
    <t>Fg 2</t>
  </si>
  <si>
    <t>Fg 3 Coord Controle Interno</t>
  </si>
  <si>
    <t xml:space="preserve">Coodenador de Setor </t>
  </si>
  <si>
    <t xml:space="preserve">Diretor </t>
  </si>
  <si>
    <t>Assessor de Impressa</t>
  </si>
  <si>
    <t>Chefe de Gabinete</t>
  </si>
  <si>
    <t>Coord. Compra e Licitações</t>
  </si>
  <si>
    <t>Ass. Legislação e Projetos</t>
  </si>
  <si>
    <t>Assessor juridico</t>
  </si>
  <si>
    <t>Secretarios Municipais</t>
  </si>
  <si>
    <t>Vice Prefeito</t>
  </si>
  <si>
    <t>Prefeito</t>
  </si>
  <si>
    <t>ANO 2014</t>
  </si>
  <si>
    <t>DESPESAS S/ RESERVA CONTINGÊNCIA</t>
  </si>
  <si>
    <t>,</t>
  </si>
  <si>
    <t xml:space="preserve">FONTE:  Secretaria da Administração, Planejamento e Fazenda </t>
  </si>
  <si>
    <t xml:space="preserve">  Na projeção da despesa estamos tomando muito cuidado com relação a execução e comprometimento dos recursos pois até apresente data, a economia do pais está num processo de aceleração, com as ações do Governo Federal, através de redução de impostos como o do Imposto sobre Produtos Industrializar, aquecendo a economia., por outro lado estamos atentos com as econominas mundiais que estão apresentando sucessivas crises que poderão comprometer as metas de arrecadação.</t>
  </si>
  <si>
    <t>Implantação de área para extração de cascalho (saibro)</t>
  </si>
  <si>
    <t>Fonte:</t>
  </si>
  <si>
    <t>Secretaria da Administração, Planejamento e Fazenda</t>
  </si>
  <si>
    <t>Professor Nivel III-Especial</t>
  </si>
  <si>
    <t>LC 53/2009</t>
  </si>
  <si>
    <t>Assessor de Esportes</t>
  </si>
  <si>
    <t>LC 062/2011</t>
  </si>
  <si>
    <t>LC 065/2011</t>
  </si>
  <si>
    <t>Diretor de Escola</t>
  </si>
  <si>
    <t>Vice Diretor</t>
  </si>
  <si>
    <t>LC 048/2008</t>
  </si>
  <si>
    <t>PROJETAMOS A NECESSIDADE DE RECUPERAÇÃO DOS ÍNDICES INFLACIONÁRIOS, DESSA FORMA NÃO ALTERAMOS O QUADRO ACIMA, CASO HAVER NECESSIDADE</t>
  </si>
  <si>
    <t xml:space="preserve">DE ALTERAÇÃO NA ESTRUTURA SERÁ ENCAMINADO LEI ESPECÍFICA. </t>
  </si>
  <si>
    <t>ANO 2015</t>
  </si>
  <si>
    <t>2015</t>
  </si>
  <si>
    <t>OBS: IPCA de 2010 e de 2011 cfe site do IBGE e 2013 a 2015 cfe projeção na LDO da União</t>
  </si>
  <si>
    <t>assegurar que não haverá criação de nova despesa sem a correspondente fonte de financiamento,</t>
  </si>
  <si>
    <t>exercício,  apresentando assim a margem expansão projetada</t>
  </si>
  <si>
    <t>Ampliação do centro administrativo</t>
  </si>
  <si>
    <t>Construção de qaudras esportivas nas comunidades</t>
  </si>
  <si>
    <t>Ações S.O.S. Água e Cidadania</t>
  </si>
  <si>
    <t>Abertura de Avenidas e Ruas</t>
  </si>
  <si>
    <t>Pedagoga</t>
  </si>
  <si>
    <t>Psicologo-padrão08*</t>
  </si>
  <si>
    <t>Assit.Social-padrão08*</t>
  </si>
  <si>
    <t>NOTA: * FORAM CONSIDERADOS MÉDIAS DOS VALRES DE REMUNERAÇÃO, COM RESPECTIVA CARGA HORARIA.</t>
  </si>
  <si>
    <t>ANO 2016</t>
  </si>
  <si>
    <t>a) em 2014 foi feita a estimativa segundo os últimos 3 exercícios. Entretanto, havendo previsão de valores mais confiáveis deve-se adotar esta previsão, considerando que haverá modificação quando orçamento  encaminhado</t>
  </si>
  <si>
    <t>b) índice de preço corresponde à inflação projetada para o exercício. A base para 2015/2016 é de 4,5% ao ano (projetado pela União na sua LDO).</t>
  </si>
  <si>
    <t>MUNICÍPIO</t>
  </si>
  <si>
    <t>PREFIXO</t>
  </si>
  <si>
    <t>BOA VISTA DO CADEADO</t>
  </si>
  <si>
    <t>ESTIMATIVA</t>
  </si>
  <si>
    <t>PIB e IPCA</t>
  </si>
  <si>
    <t>BASE PIB / RS – 2010 a 2016</t>
  </si>
  <si>
    <r>
      <t>2010 –</t>
    </r>
    <r>
      <rPr>
        <sz val="10"/>
        <rFont val="Times New Roman"/>
        <family val="1"/>
      </rPr>
      <t xml:space="preserve"> R$ 252.483.000.000,00</t>
    </r>
  </si>
  <si>
    <t>Variações PIB / RS (2013 a 2016)</t>
  </si>
  <si>
    <r>
      <t xml:space="preserve">2013 - </t>
    </r>
    <r>
      <rPr>
        <sz val="10"/>
        <rFont val="Times New Roman"/>
        <family val="1"/>
      </rPr>
      <t>3,5%</t>
    </r>
  </si>
  <si>
    <r>
      <t xml:space="preserve">2014 – </t>
    </r>
    <r>
      <rPr>
        <sz val="10"/>
        <rFont val="Times New Roman"/>
        <family val="1"/>
      </rPr>
      <t>4</t>
    </r>
    <r>
      <rPr>
        <b/>
        <sz val="10"/>
        <rFont val="Times New Roman"/>
        <family val="1"/>
      </rPr>
      <t>,</t>
    </r>
    <r>
      <rPr>
        <sz val="10"/>
        <rFont val="Times New Roman"/>
        <family val="1"/>
      </rPr>
      <t>5%</t>
    </r>
  </si>
  <si>
    <r>
      <t xml:space="preserve">2015 – </t>
    </r>
    <r>
      <rPr>
        <sz val="10"/>
        <rFont val="Times New Roman"/>
        <family val="1"/>
      </rPr>
      <t>5,0%</t>
    </r>
  </si>
  <si>
    <r>
      <t xml:space="preserve">2016 - </t>
    </r>
    <r>
      <rPr>
        <sz val="10"/>
        <rFont val="Times New Roman"/>
        <family val="1"/>
      </rPr>
      <t>4,5%</t>
    </r>
  </si>
  <si>
    <t>Inflação - IPCA (2013 a 2016)</t>
  </si>
  <si>
    <r>
      <t>2013 –</t>
    </r>
    <r>
      <rPr>
        <sz val="10"/>
        <rFont val="Times New Roman"/>
        <family val="1"/>
      </rPr>
      <t xml:space="preserve"> 5,20%</t>
    </r>
  </si>
  <si>
    <r>
      <t>2014 –</t>
    </r>
    <r>
      <rPr>
        <sz val="10"/>
        <rFont val="Times New Roman"/>
        <family val="1"/>
      </rPr>
      <t xml:space="preserve"> 4,5%</t>
    </r>
  </si>
  <si>
    <t>Dioneia  Cristina Froner</t>
  </si>
  <si>
    <t>Fonte: Secretaria de Planejamento e Gestão do Estado do Rio Grande do Sul</t>
  </si>
  <si>
    <t>2016</t>
  </si>
  <si>
    <t>Fabio Mayer Barasuol</t>
  </si>
  <si>
    <t>Fabio Mayer Barasuol                                      Mauricio da Rosa</t>
  </si>
  <si>
    <t>Dioneia Cristina Froner</t>
  </si>
  <si>
    <t xml:space="preserve">   De outro lado estão as receitas do estado, no caso do ICMS, nosso índice provisório ficou em 0,090601%, o que representou uma queda com relação exercício de 2013 mas projetamos um crescimento devido ao Estado na suas projeção prevem crescimento, mas será de forma bem reduzida o crescimento para todas as receitas, como todas as projeções estão voltadas ao índice, então dessa forma entende-se que haverá aumento na participação do município com relação ao cota de distribuição dos recursos do estado, será semelhante a atua.</t>
  </si>
  <si>
    <t>(LRF, art. 4º, § 1º)</t>
  </si>
  <si>
    <t>Valor Constante</t>
  </si>
  <si>
    <t>VARIÁVEIS ECONOMICAS</t>
  </si>
  <si>
    <t>PIB Real (crescimento % anual)</t>
  </si>
  <si>
    <t xml:space="preserve">Inflação Média (% anual) Projetada com Base em Índice Oficial </t>
  </si>
  <si>
    <t>Projeção PIB Estado (R$ Milhares)</t>
  </si>
  <si>
    <t>(LRF, art. 4º, § 2º, II)</t>
  </si>
  <si>
    <t>Especificação</t>
  </si>
  <si>
    <t>2012 
(c )</t>
  </si>
  <si>
    <t>2013 
(d)</t>
  </si>
  <si>
    <t>DÍVIDA CONSOLIDADA (I)</t>
  </si>
  <si>
    <t>DEDUÇÕES (II)</t>
  </si>
  <si>
    <t xml:space="preserve">  Ativo Disponivel</t>
  </si>
  <si>
    <t xml:space="preserve">  Haveres Financeiros</t>
  </si>
  <si>
    <t xml:space="preserve">  (-) Restos a Pagar Processados</t>
  </si>
  <si>
    <t>DÍVIDA CONSOLIDADA LÍQUIDA (III) = (I - II)</t>
  </si>
  <si>
    <t>RECEITA DE PRIVATIZAÇÕES (IV)</t>
  </si>
  <si>
    <t>PASSIVOS RECONHECIDOS (V)</t>
  </si>
  <si>
    <t>DÍVIDA FISCAL LÍQUIDA (III + IV - V)</t>
  </si>
  <si>
    <t>RESULTADO NOMINAL</t>
  </si>
  <si>
    <t xml:space="preserve"> (b - a*)</t>
  </si>
  <si>
    <t>(c - b)</t>
  </si>
  <si>
    <t>(d - c)</t>
  </si>
  <si>
    <t>(e - d)</t>
  </si>
  <si>
    <t>(f - e)</t>
  </si>
  <si>
    <t>(g - f)</t>
  </si>
  <si>
    <t>(LRF, art. 4º, § 2º, inciso I)</t>
  </si>
  <si>
    <t>Valor            
 (c) = (b-a)</t>
  </si>
  <si>
    <t>%           
(c/a) x 100</t>
  </si>
  <si>
    <r>
      <t>Nota:</t>
    </r>
    <r>
      <rPr>
        <sz val="8"/>
        <rFont val="Arial"/>
        <family val="2"/>
      </rPr>
      <t xml:space="preserve"> PIB Estadual previsto e realizado para 2012.</t>
    </r>
  </si>
  <si>
    <t>Valor - R$ Milhares</t>
  </si>
  <si>
    <t>(b) Metodologia de Cálculo do Resultado Primário</t>
  </si>
  <si>
    <t>IPCA</t>
  </si>
  <si>
    <t>Nota: Com  relação ao presente demonstrativo, apresentamos somente no exercício de 2010  e 2012 a aplicação de alienação de ativos sendo o mesmo utilizado para investimento na aquisição de novos equipamentos.</t>
  </si>
  <si>
    <t>e buscando informações na LDO do  Estado para 2014, que considera, o aumento permanente da recei-</t>
  </si>
  <si>
    <t>Supervisor Pedagogico</t>
  </si>
  <si>
    <t>Previsão 2014</t>
  </si>
  <si>
    <t>PADRÃO REFERENCIAL LEI COMPLEMENTAR Nº 010/2002</t>
  </si>
  <si>
    <t>PADRÃO REFERENCIAL LEI COMPLEMENTAR Nº 011/2002</t>
  </si>
  <si>
    <t>FONTE:  SECRETARIA DE ADMINISTRAÇÃO, PLANEJAMENTO E FAZENDA</t>
  </si>
  <si>
    <t>Procurador Municipal</t>
  </si>
  <si>
    <t>Fg1 Motorista Gabinete</t>
  </si>
  <si>
    <t>Fg 3 Sec. Adjunto</t>
  </si>
  <si>
    <t>Demonstrativo dos Projetos Orçados e Informações sobre o Patrimônio Público</t>
  </si>
  <si>
    <t>Ações de Segurança Pública</t>
  </si>
  <si>
    <t>Construção e Estruturação de Creche</t>
  </si>
  <si>
    <t>ANO 2017</t>
  </si>
  <si>
    <t>IPCA 2015=5%</t>
  </si>
  <si>
    <t>Inflação - IPCA (2015 a 2017)</t>
  </si>
  <si>
    <r>
      <t xml:space="preserve">2017 - </t>
    </r>
    <r>
      <rPr>
        <sz val="10"/>
        <rFont val="Times New Roman"/>
        <family val="1"/>
      </rPr>
      <t>4,5%</t>
    </r>
  </si>
  <si>
    <r>
      <rPr>
        <b/>
        <sz val="10"/>
        <rFont val="Times New Roman"/>
        <family val="1"/>
      </rPr>
      <t xml:space="preserve">2017 - </t>
    </r>
    <r>
      <rPr>
        <sz val="10"/>
        <rFont val="Times New Roman"/>
        <family val="1"/>
      </rPr>
      <t>4,5%</t>
    </r>
  </si>
  <si>
    <t>IPCA 2016 E 2017=</t>
  </si>
  <si>
    <t>2017</t>
  </si>
  <si>
    <t>Boa Vista do Cadeado, RS, 27 de Agosto de 2014</t>
  </si>
  <si>
    <t xml:space="preserve">             LDO 2015 - União e Estado do Rio Grande do Sul</t>
  </si>
  <si>
    <t>LEI DE DIRETRIZES ORÇAMENTÁRIAS - LDO 2015</t>
  </si>
  <si>
    <t>Abaixo segue os dados referentes à projeção do  PIB  (2010 a 2016), conforme Projeto da Lei que trata da Lei de Diretrizes Orçamentárias (LDO) para  2015 do Estado do Rio Grande do Sul e  o índice de Inflação – IPCA (2013 a 2015) utilizado pela União na elaboração de sua LDO 2015:</t>
  </si>
  <si>
    <t>2014 
(d)</t>
  </si>
  <si>
    <t>2015 
(e)</t>
  </si>
  <si>
    <t>2016
 (f)</t>
  </si>
  <si>
    <t>2017 
(g)</t>
  </si>
  <si>
    <t>Boa Vista do Cadeado, RS, 27 de Agosto de 2014.</t>
  </si>
  <si>
    <t>Metas Previstas 
em 2013 (a)</t>
  </si>
  <si>
    <t>Metas Realizadas 
em 2013 (b)</t>
  </si>
  <si>
    <t>c) a projeção de crescimento da receita é de 2,94% considerando a previsão de 2014,  porém haverá uma redução de índice ICMS estando o provisório em 0,090601%. Para previsão a  proposta, teve como a analise: o crescimento ICMS do estado do Rio Grande do Sul, não ocasiando assim perdas seginificativas no nas projeções futuras os exercício 2012 e 2013, mas no caso de 2015, não existe previsão ainda divulgada pelos orgão do Estado dessa forma, não possibilitou apresentar um indice percentual, de previsão, já o  FPM também  aumentou  de  15%, devido aumento arrecadação da União, sendo o conjunto de todas as receitas correspondem positivamente. Para exercício de 2016 a 2017, foram considerados a taxa de crescimento, conforme informações da L.D.O. do Estado, com o percentual de 4,5% a.a.</t>
  </si>
  <si>
    <t>i) as receitas de transferências do sus e programas do estado foram considerado os valores dos últimos 3 anos, reprojentando o cálculo para o exercício de 2015, para os exercícios futuros</t>
  </si>
  <si>
    <t>e) as receitas próprios foram considerados média histórica dos últimos 3 anos reprojetando o cálculo para o exercício de 2015, com acréscimo de 5%, a. a.</t>
  </si>
  <si>
    <t xml:space="preserve">   As informações para a presente análise demonstram as principais receitas corrente que mantém o Município, sendo que o FPM obteve um crescimento médio de 15% entre o ano de 2013 e 2014, como o presente a possibilidade de oscilação é mínima os valores são através do coeficiente mínimo, a tendência para o exercício de 2014 é que haja uma projeção superior ao projetado para o exercício atual, o mesmo ocorre para todas as transferências da união, devido ao aquecimento da ecomonia nacional.</t>
  </si>
  <si>
    <t xml:space="preserve">   Em relação ao resultado primário, apresentamos como meta para o exercício de 2015, no valor de R$ -68.000,00 negativo, concluindo que atenderemos os pagamentos da divida fundada em virtude da  operação de crédito realizado no exercício de 2011,  além disso as receitas, com exceção as que tratam de aplicação financeiras e amortização de empréstimo considerado somente as receitas primárias líquidas serão todas aplicadas na projeção da despesa, . Também apresentamos o superávit financeiro que apresente previsão  no exercício atual, e que formará a projeção do resultado nominal. Para os outros exercícios somente aplicamos o percentual de inflação para o período de 4,5% os dois exercícios subseqüentes, conforme metas de inflação projetada pela Secretaria da Fazenda do Estado do Rio Grande do Sul e a Fundação de Estadual de Estatística.</t>
  </si>
  <si>
    <t>Nota: No presente demonstrativo temos a variação de 2011 a 2013 sendo maior a cada ano, em razão devido do município estar em constantes investimentos dessa forma o patrimônio capital do município esta em constante variação positiva, sendo que o crescimento em uma analise horizontal obteve em percentual 22,45%.</t>
  </si>
  <si>
    <t>Ao restante dos projetos que estão no orçamento do presente exercício, tem a previsão de conclusão ao final do exercício de 2014, porém estão somente considerados os valores previstos no orçamento sem uma individualização dos mesmos por representarem valores muitos pequenos e não ter uma exata situação de quando serão adquiridos. Também existe alguns que já apresentaram  conclusão.</t>
  </si>
  <si>
    <t>O valor patrimonial vale dizer que perfazem o valor de R$ 15.568.003,52, conforme balanço do exercício de 2013,  poder executivo conforme valor original sem a devida reavaliação.</t>
  </si>
  <si>
    <t>Os projetos acima descritos são as ações da Administração Municipal que serão realizadas até o final do exercício, com a exceção das  de melhorias na escolas municipais serão realizadas para próximo exercício, os valores projeto e atividade zerados já foram executados, ou não serão mais para o exercício.</t>
  </si>
  <si>
    <t>ta, a ampliação da base de cálculo decorrente da variação real do PIB, estimada em 5% para o ano</t>
  </si>
  <si>
    <t>de 2015, neste demostrativo projetamos, baseando na arrecadação realizada em 2013  R$ 13.601.666,24 e a projeção para o novo</t>
  </si>
  <si>
    <t>2013 (a)</t>
  </si>
  <si>
    <t>2012 (b)</t>
  </si>
  <si>
    <r>
      <t>2011 –</t>
    </r>
    <r>
      <rPr>
        <sz val="10"/>
        <rFont val="Times New Roman"/>
        <family val="1"/>
      </rPr>
      <t xml:space="preserve"> R$ 283.633.000.000,00</t>
    </r>
  </si>
  <si>
    <r>
      <t>2012 –</t>
    </r>
    <r>
      <rPr>
        <sz val="10"/>
        <rFont val="Times New Roman"/>
        <family val="1"/>
      </rPr>
      <t xml:space="preserve"> R$ 272.569.000.000,00</t>
    </r>
  </si>
  <si>
    <r>
      <t xml:space="preserve">2013 – </t>
    </r>
    <r>
      <rPr>
        <sz val="10"/>
        <rFont val="Times New Roman"/>
        <family val="1"/>
      </rPr>
      <t>R$</t>
    </r>
    <r>
      <rPr>
        <b/>
        <sz val="10"/>
        <rFont val="Times New Roman"/>
        <family val="1"/>
      </rPr>
      <t xml:space="preserve"> </t>
    </r>
    <r>
      <rPr>
        <sz val="10"/>
        <rFont val="Times New Roman"/>
        <family val="1"/>
      </rPr>
      <t>310.508.000.000,00</t>
    </r>
  </si>
  <si>
    <t>2017 - R$ 452.134.000.000,00</t>
  </si>
  <si>
    <t>2014 – R$ 341.296.000.000,00</t>
  </si>
  <si>
    <t>2015 – R$ 375.179.000.000,00</t>
  </si>
  <si>
    <t>2016 – R$ 412.611.000.000,00</t>
  </si>
  <si>
    <t>2015 – 4,0%</t>
  </si>
  <si>
    <t>2015 – 5,0%</t>
  </si>
  <si>
    <t>BASE PIB / RS – 2010 a 2017</t>
  </si>
  <si>
    <t>2017 - 4,5%</t>
  </si>
  <si>
    <r>
      <t xml:space="preserve">2017 </t>
    </r>
    <r>
      <rPr>
        <sz val="10"/>
        <rFont val="Times New Roman"/>
        <family val="1"/>
      </rPr>
      <t>- 4,5%</t>
    </r>
  </si>
  <si>
    <t>2015 – 5%</t>
  </si>
  <si>
    <t xml:space="preserve">   Foram considerado o valor  como referencia ao ativo disponível e passivo financeiro do exercício de 2013,  mais as projeções atualizada de arrecadação entre a receita e despesa de 2014,  e os relatórios da execução orçamentárias do mês de julho e agosto reprojetando a situação até o final do exercício, porém estamos atualizando conforme a arrecadação para período mantemos o projetado na atualização da L.O.A pois a administração,  está utilização os superavit financeiro financeiro acumulado dos anos anteriores e acreditasse que estaremos respectivos no decorrer de do ano. Com base dessas informações para o exercício de 2015,   projetamos uma meta do resultado nominal no valor de R$ 136.000,00 valor negativo. Caso ocorra modificações das projeções realizaremos ações que mantenha a meta proposta.</t>
  </si>
  <si>
    <t>Previsão do PIB Estadual para 2013</t>
  </si>
  <si>
    <t>Abaixo segue os dados referentes à projeção do  PIB  (2010 a 2017),  que trata da Lei de Diretrizes Orçamentárias (LDO) para  2015 do Estado do Rio Grande do Sul e  o índice de Inflação – IPCA (2015 a 2017) utilizado pela União na elaboração de sua LDO 2014:</t>
  </si>
  <si>
    <t>Valor Efetivo (realizado) do PIB Estadual para 2013</t>
  </si>
  <si>
    <t>Nota: No presente demonstrativo apresentamos a avaliação das metas comparando os resultados atuais com o projetado na L.D.O para o exercício de 2013, tanto com o que projetamos na  Lei de Diretrizes Orçamentárias e a Lei Orçamentária na situação atualizada até o quadrimestre. Dessa forma na execução do resultado primário apresenta-se uma situação de R$ 709.213,42 valor positivo para 2013, onde a projeção foi de R$ 253.000,00 valor positivo para a Lei de Diretrizes atualizado pelo Lei Orçamentária. Já no caso do resultado nominal na Lei de Diretrizes Orçamentárias também atualizado pela mesma Lei o valor projetado foi de R$ 91.000,00 valor positivo sendo que ao final do quadrimestre apresentou R$ -1.040.622,80  valor negativo. Na analise do demonstrativo podemos concluir que houve atendimento das metas fiscais projetadas.</t>
  </si>
  <si>
    <t>Tec. Agricola-padrão05</t>
  </si>
  <si>
    <t>Tec. Enfermagem-padrão06</t>
  </si>
  <si>
    <t>Ag. Aux. Consultorio Dentario</t>
  </si>
  <si>
    <t>FONTE: SEC. ADMINISTRAÇÃO, PLANEJAMENTO E FAZENDA</t>
  </si>
  <si>
    <t>Fonte: Secretaria Administração, Planejamento e Fazenda</t>
  </si>
  <si>
    <t>Valor Previsto 2015</t>
  </si>
  <si>
    <t>h) para as despesas foram consideradas os valores das despesas nos ultimos 3 exercícios, porém para exercício de 2015, consideramos uso do superavit financeiro  mais a projeção de inflação para período de 4,5%, não fazem parte da soma os valores das reservas de contingências.</t>
  </si>
</sst>
</file>

<file path=xl/styles.xml><?xml version="1.0" encoding="utf-8"?>
<styleSheet xmlns="http://schemas.openxmlformats.org/spreadsheetml/2006/main">
  <numFmts count="15">
    <numFmt numFmtId="6" formatCode="&quot;R$ &quot;#,##0_);[Red]\(&quot;R$ &quot;#,##0\)"/>
    <numFmt numFmtId="8" formatCode="&quot;R$ &quot;#,##0.00_);[Red]\(&quot;R$ &quot;#,##0.00\)"/>
    <numFmt numFmtId="44" formatCode="_(&quot;R$ &quot;* #,##0.00_);_(&quot;R$ &quot;* \(#,##0.00\);_(&quot;R$ &quot;* &quot;-&quot;??_);_(@_)"/>
    <numFmt numFmtId="43" formatCode="_(* #,##0.00_);_(* \(#,##0.00\);_(* &quot;-&quot;??_);_(@_)"/>
    <numFmt numFmtId="164" formatCode="_(* #,##0_);_(* \(#,##0\);_(* &quot;-&quot;??_);_(@_)"/>
    <numFmt numFmtId="165" formatCode="0.0%"/>
    <numFmt numFmtId="166" formatCode="_(* #,##0.000_);_(* \(#,##0.000\);_(* &quot;-&quot;??_);_(@_)"/>
    <numFmt numFmtId="167" formatCode="_(* #,##0.0000_);_(* \(#,##0.0000\);_(* &quot;-&quot;??_);_(@_)"/>
    <numFmt numFmtId="168" formatCode="0.0000%"/>
    <numFmt numFmtId="169" formatCode="&quot;R$&quot;\ #,##0.00"/>
    <numFmt numFmtId="170" formatCode="0.0"/>
    <numFmt numFmtId="171" formatCode="&quot;R$&quot;\ #,##0.00;[Red]\-&quot;R$&quot;\ #,##0.00"/>
    <numFmt numFmtId="172" formatCode="#,##0.0000"/>
    <numFmt numFmtId="173" formatCode="0.0000"/>
    <numFmt numFmtId="174" formatCode="#,##0.0000_);\(#,##0.0000\)"/>
  </numFmts>
  <fonts count="34">
    <font>
      <sz val="10"/>
      <name val="Arial"/>
    </font>
    <font>
      <sz val="10"/>
      <name val="Arial"/>
      <family val="2"/>
    </font>
    <font>
      <b/>
      <sz val="8"/>
      <name val="Times New Roman"/>
      <family val="1"/>
    </font>
    <font>
      <sz val="8"/>
      <name val="Times New Roman"/>
      <family val="1"/>
    </font>
    <font>
      <i/>
      <sz val="8"/>
      <name val="Times New Roman"/>
      <family val="1"/>
    </font>
    <font>
      <sz val="10"/>
      <name val="Times New Roman"/>
      <family val="1"/>
    </font>
    <font>
      <sz val="8"/>
      <name val="Arial"/>
      <family val="2"/>
    </font>
    <font>
      <b/>
      <sz val="10"/>
      <name val="Arial"/>
      <family val="2"/>
    </font>
    <font>
      <sz val="10"/>
      <name val="Arial"/>
      <family val="2"/>
    </font>
    <font>
      <b/>
      <sz val="10"/>
      <name val="Times New Roman"/>
      <family val="1"/>
    </font>
    <font>
      <sz val="9"/>
      <name val="Times New Roman"/>
      <family val="1"/>
    </font>
    <font>
      <b/>
      <sz val="9"/>
      <name val="Times New Roman"/>
      <family val="1"/>
    </font>
    <font>
      <b/>
      <sz val="8"/>
      <name val="Arial"/>
      <family val="2"/>
    </font>
    <font>
      <b/>
      <u/>
      <sz val="10"/>
      <name val="Times New Roman"/>
      <family val="1"/>
    </font>
    <font>
      <sz val="12"/>
      <name val="Times New Roman"/>
      <family val="1"/>
    </font>
    <font>
      <sz val="10"/>
      <color indexed="8"/>
      <name val="Times New Roman"/>
      <family val="1"/>
    </font>
    <font>
      <b/>
      <sz val="10"/>
      <color indexed="8"/>
      <name val="Times New Roman"/>
      <family val="1"/>
    </font>
    <font>
      <b/>
      <sz val="11"/>
      <name val="Times New Roman"/>
      <family val="1"/>
    </font>
    <font>
      <b/>
      <sz val="12"/>
      <name val="Times New Roman"/>
      <family val="1"/>
    </font>
    <font>
      <sz val="20"/>
      <color indexed="8"/>
      <name val="Times New Roman"/>
      <family val="1"/>
    </font>
    <font>
      <sz val="11"/>
      <name val="Times New Roman"/>
      <family val="1"/>
    </font>
    <font>
      <sz val="10"/>
      <color theme="1"/>
      <name val="Times New Roman"/>
      <family val="1"/>
    </font>
    <font>
      <sz val="10"/>
      <color rgb="FFFF0000"/>
      <name val="Times New Roman"/>
      <family val="1"/>
    </font>
    <font>
      <sz val="10"/>
      <color indexed="8"/>
      <name val="Arial"/>
      <family val="2"/>
    </font>
    <font>
      <b/>
      <sz val="10"/>
      <color indexed="8"/>
      <name val="Arial"/>
      <family val="2"/>
    </font>
    <font>
      <sz val="10"/>
      <name val="Arial"/>
      <family val="2"/>
    </font>
    <font>
      <sz val="8"/>
      <color indexed="81"/>
      <name val="Tahoma"/>
      <family val="2"/>
    </font>
    <font>
      <b/>
      <sz val="8"/>
      <color indexed="81"/>
      <name val="Tahoma"/>
      <family val="2"/>
    </font>
    <font>
      <sz val="10"/>
      <color theme="3" tint="0.39997558519241921"/>
      <name val="Arial"/>
      <family val="2"/>
    </font>
    <font>
      <sz val="8"/>
      <color rgb="FF000000"/>
      <name val="Arial"/>
      <family val="2"/>
    </font>
    <font>
      <b/>
      <sz val="8"/>
      <color rgb="FFFFFFFF"/>
      <name val="Arial"/>
      <family val="2"/>
    </font>
    <font>
      <b/>
      <sz val="10"/>
      <name val="Calibri"/>
      <family val="2"/>
    </font>
    <font>
      <b/>
      <sz val="9"/>
      <name val="Arial"/>
      <family val="2"/>
    </font>
    <font>
      <b/>
      <u/>
      <sz val="8"/>
      <name val="Arial"/>
      <family val="2"/>
    </font>
  </fonts>
  <fills count="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rgb="FFE6E6E6"/>
        <bgColor indexed="64"/>
      </patternFill>
    </fill>
    <fill>
      <patternFill patternType="solid">
        <fgColor theme="0" tint="-0.249977111117893"/>
        <bgColor indexed="64"/>
      </patternFill>
    </fill>
    <fill>
      <patternFill patternType="solid">
        <fgColor rgb="FF6AA06A"/>
        <bgColor indexed="64"/>
      </patternFill>
    </fill>
    <fill>
      <patternFill patternType="solid">
        <fgColor indexed="26"/>
        <bgColor indexed="64"/>
      </patternFill>
    </fill>
  </fills>
  <borders count="89">
    <border>
      <left/>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9"/>
      </left>
      <right style="thin">
        <color indexed="9"/>
      </right>
      <top style="thin">
        <color indexed="9"/>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9"/>
      </left>
      <right style="thin">
        <color indexed="9"/>
      </right>
      <top/>
      <bottom style="thin">
        <color indexed="64"/>
      </bottom>
      <diagonal/>
    </border>
    <border>
      <left/>
      <right/>
      <top style="thin">
        <color indexed="9"/>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thin">
        <color indexed="9"/>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right style="medium">
        <color indexed="64"/>
      </right>
      <top/>
      <bottom style="medium">
        <color indexed="64"/>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right style="thick">
        <color rgb="FFFFFFFF"/>
      </right>
      <top/>
      <bottom/>
      <diagonal/>
    </border>
    <border>
      <left style="thick">
        <color rgb="FFFFFFFF"/>
      </left>
      <right style="thick">
        <color rgb="FFFFFFFF"/>
      </right>
      <top style="thick">
        <color rgb="FFFFFFFF"/>
      </top>
      <bottom/>
      <diagonal/>
    </border>
    <border>
      <left/>
      <right style="thick">
        <color rgb="FFFFFFFF"/>
      </right>
      <top style="thick">
        <color rgb="FFFFFFFF"/>
      </top>
      <bottom/>
      <diagonal/>
    </border>
    <border>
      <left style="thick">
        <color rgb="FFFFFFFF"/>
      </left>
      <right style="thick">
        <color rgb="FFFFFFFF"/>
      </right>
      <top/>
      <bottom/>
      <diagonal/>
    </border>
    <border>
      <left/>
      <right/>
      <top style="thick">
        <color rgb="FFFFFFFF"/>
      </top>
      <bottom/>
      <diagonal/>
    </border>
    <border>
      <left style="thin">
        <color indexed="9"/>
      </left>
      <right style="thin">
        <color indexed="9"/>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9"/>
      </right>
      <top/>
      <bottom/>
      <diagonal/>
    </border>
    <border>
      <left/>
      <right style="medium">
        <color indexed="64"/>
      </right>
      <top style="medium">
        <color indexed="64"/>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bottom/>
      <diagonal/>
    </border>
    <border>
      <left style="thick">
        <color indexed="64"/>
      </left>
      <right style="thick">
        <color indexed="64"/>
      </right>
      <top/>
      <bottom/>
      <diagonal/>
    </border>
    <border>
      <left style="thick">
        <color indexed="64"/>
      </left>
      <right/>
      <top style="thick">
        <color indexed="64"/>
      </top>
      <bottom/>
      <diagonal/>
    </border>
    <border>
      <left style="thick">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ck">
        <color indexed="64"/>
      </right>
      <top style="thick">
        <color indexed="64"/>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631">
    <xf numFmtId="0" fontId="0" fillId="0" borderId="0" xfId="0"/>
    <xf numFmtId="0" fontId="3" fillId="0" borderId="0" xfId="0" applyNumberFormat="1" applyFont="1" applyFill="1" applyBorder="1" applyAlignment="1"/>
    <xf numFmtId="0" fontId="2" fillId="0" borderId="0" xfId="0" applyNumberFormat="1" applyFont="1" applyFill="1" applyAlignment="1"/>
    <xf numFmtId="0" fontId="3" fillId="0" borderId="0" xfId="0" applyNumberFormat="1" applyFont="1" applyFill="1" applyBorder="1" applyAlignment="1">
      <alignment vertical="center"/>
    </xf>
    <xf numFmtId="0" fontId="3" fillId="0" borderId="1" xfId="0" applyFont="1" applyFill="1" applyBorder="1" applyAlignment="1"/>
    <xf numFmtId="0" fontId="3" fillId="0" borderId="2" xfId="0" applyFont="1" applyFill="1" applyBorder="1" applyAlignment="1"/>
    <xf numFmtId="0" fontId="3" fillId="0" borderId="3" xfId="0" applyFont="1" applyFill="1" applyBorder="1" applyAlignment="1"/>
    <xf numFmtId="0" fontId="9" fillId="0" borderId="0" xfId="0" applyNumberFormat="1" applyFont="1" applyFill="1" applyAlignment="1">
      <alignment horizontal="left"/>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7" fillId="0" borderId="0" xfId="0" applyFont="1"/>
    <xf numFmtId="0" fontId="10" fillId="0" borderId="0" xfId="0" applyFont="1" applyFill="1" applyAlignment="1">
      <alignment horizontal="left" vertical="center"/>
    </xf>
    <xf numFmtId="0" fontId="0" fillId="0" borderId="0" xfId="0" applyProtection="1">
      <protection locked="0"/>
    </xf>
    <xf numFmtId="165" fontId="3" fillId="0" borderId="0" xfId="1" applyNumberFormat="1" applyFont="1" applyFill="1" applyBorder="1" applyAlignment="1"/>
    <xf numFmtId="166" fontId="3" fillId="0" borderId="0" xfId="2" applyNumberFormat="1" applyFont="1" applyFill="1" applyBorder="1" applyAlignment="1"/>
    <xf numFmtId="167" fontId="3" fillId="0" borderId="0" xfId="2" applyNumberFormat="1" applyFont="1" applyFill="1" applyBorder="1" applyAlignment="1"/>
    <xf numFmtId="166" fontId="3" fillId="0" borderId="9" xfId="2" applyNumberFormat="1" applyFont="1" applyFill="1" applyBorder="1" applyAlignment="1">
      <alignment horizontal="center"/>
    </xf>
    <xf numFmtId="0" fontId="3" fillId="0" borderId="10" xfId="0" applyNumberFormat="1" applyFont="1" applyFill="1" applyBorder="1" applyAlignment="1">
      <alignment horizontal="center"/>
    </xf>
    <xf numFmtId="0" fontId="5" fillId="0" borderId="12" xfId="0" applyFont="1" applyFill="1" applyBorder="1" applyAlignment="1">
      <alignment vertical="top" wrapText="1"/>
    </xf>
    <xf numFmtId="8" fontId="5" fillId="0" borderId="12" xfId="0" applyNumberFormat="1" applyFont="1" applyFill="1" applyBorder="1" applyAlignment="1">
      <alignment horizontal="right" vertical="top" wrapText="1"/>
    </xf>
    <xf numFmtId="0" fontId="5" fillId="0" borderId="0" xfId="0" applyFont="1" applyFill="1"/>
    <xf numFmtId="0" fontId="21" fillId="0" borderId="0" xfId="0" applyFont="1" applyAlignment="1"/>
    <xf numFmtId="0" fontId="21" fillId="0" borderId="0" xfId="0" applyFont="1" applyAlignment="1">
      <alignment wrapText="1"/>
    </xf>
    <xf numFmtId="0" fontId="10" fillId="0" borderId="0" xfId="0" applyFont="1" applyFill="1" applyAlignment="1"/>
    <xf numFmtId="8" fontId="11" fillId="0" borderId="0" xfId="0" applyNumberFormat="1" applyFont="1" applyFill="1" applyBorder="1" applyAlignment="1">
      <alignment horizontal="right"/>
    </xf>
    <xf numFmtId="0" fontId="5" fillId="0" borderId="0" xfId="0" applyFont="1"/>
    <xf numFmtId="164" fontId="5" fillId="0" borderId="0" xfId="2" applyNumberFormat="1" applyFont="1"/>
    <xf numFmtId="0" fontId="10" fillId="0" borderId="0" xfId="0" applyFont="1"/>
    <xf numFmtId="43" fontId="10" fillId="0" borderId="0" xfId="0" applyNumberFormat="1" applyFont="1" applyProtection="1">
      <protection locked="0"/>
    </xf>
    <xf numFmtId="0" fontId="10" fillId="0" borderId="0" xfId="0" applyFont="1" applyProtection="1">
      <protection locked="0"/>
    </xf>
    <xf numFmtId="43" fontId="10" fillId="0" borderId="0" xfId="0" applyNumberFormat="1" applyFont="1"/>
    <xf numFmtId="0" fontId="9" fillId="0" borderId="0" xfId="0" applyFont="1" applyAlignment="1">
      <alignment horizontal="center"/>
    </xf>
    <xf numFmtId="3" fontId="18" fillId="0" borderId="0" xfId="0" applyNumberFormat="1" applyFont="1" applyAlignment="1">
      <alignment horizontal="center"/>
    </xf>
    <xf numFmtId="0" fontId="15" fillId="2" borderId="4" xfId="0" applyFont="1" applyFill="1" applyBorder="1"/>
    <xf numFmtId="0" fontId="15" fillId="2" borderId="17" xfId="0" applyFont="1" applyFill="1" applyBorder="1"/>
    <xf numFmtId="43" fontId="16" fillId="2" borderId="17" xfId="0" applyNumberFormat="1" applyFont="1" applyFill="1" applyBorder="1"/>
    <xf numFmtId="0" fontId="15" fillId="0" borderId="0" xfId="0" applyFont="1"/>
    <xf numFmtId="43" fontId="15" fillId="0" borderId="0" xfId="0" applyNumberFormat="1" applyFont="1"/>
    <xf numFmtId="0" fontId="5" fillId="0" borderId="0" xfId="0" applyFont="1" applyFill="1" applyBorder="1"/>
    <xf numFmtId="0" fontId="5" fillId="0" borderId="0" xfId="0" applyFont="1" applyAlignment="1">
      <alignment horizontal="left"/>
    </xf>
    <xf numFmtId="0" fontId="21" fillId="0" borderId="0" xfId="0" applyFont="1"/>
    <xf numFmtId="0" fontId="11" fillId="0" borderId="0" xfId="0" applyFont="1" applyAlignment="1">
      <alignment horizontal="center"/>
    </xf>
    <xf numFmtId="0" fontId="11" fillId="0" borderId="0" xfId="0" applyFont="1" applyBorder="1" applyAlignment="1">
      <alignment horizontal="center"/>
    </xf>
    <xf numFmtId="0" fontId="11" fillId="0" borderId="14" xfId="0" applyFont="1" applyFill="1" applyBorder="1"/>
    <xf numFmtId="43" fontId="10" fillId="0" borderId="8" xfId="2" applyFont="1" applyFill="1" applyBorder="1"/>
    <xf numFmtId="0" fontId="11" fillId="0" borderId="5" xfId="0" applyFont="1" applyFill="1" applyBorder="1"/>
    <xf numFmtId="0" fontId="11" fillId="0" borderId="14" xfId="0" applyFont="1" applyFill="1" applyBorder="1" applyAlignment="1">
      <alignment horizontal="left" indent="2"/>
    </xf>
    <xf numFmtId="43" fontId="11" fillId="0" borderId="8" xfId="2" applyFont="1" applyFill="1" applyBorder="1"/>
    <xf numFmtId="0" fontId="11" fillId="0" borderId="0" xfId="0" applyFont="1"/>
    <xf numFmtId="0" fontId="11" fillId="0" borderId="14" xfId="0" applyFont="1" applyFill="1" applyBorder="1" applyAlignment="1">
      <alignment horizontal="left"/>
    </xf>
    <xf numFmtId="0" fontId="19" fillId="0" borderId="0" xfId="0" applyFont="1"/>
    <xf numFmtId="0" fontId="11" fillId="0" borderId="31" xfId="0" applyFont="1" applyFill="1" applyBorder="1" applyAlignment="1">
      <alignment horizontal="left"/>
    </xf>
    <xf numFmtId="0" fontId="11" fillId="0" borderId="0" xfId="0" applyFont="1" applyFill="1" applyBorder="1" applyAlignment="1">
      <alignment horizontal="left"/>
    </xf>
    <xf numFmtId="0" fontId="20" fillId="0" borderId="0" xfId="0" applyFont="1" applyFill="1"/>
    <xf numFmtId="0" fontId="5" fillId="0" borderId="0" xfId="0" applyFont="1" applyFill="1" applyAlignment="1">
      <alignment horizontal="center" vertical="center"/>
    </xf>
    <xf numFmtId="0" fontId="17" fillId="0" borderId="0" xfId="0" applyNumberFormat="1" applyFont="1" applyFill="1" applyAlignment="1"/>
    <xf numFmtId="8" fontId="20" fillId="0" borderId="0" xfId="0" applyNumberFormat="1" applyFont="1" applyFill="1" applyBorder="1" applyAlignment="1">
      <alignment wrapText="1"/>
    </xf>
    <xf numFmtId="0" fontId="10" fillId="0" borderId="0" xfId="0" applyFont="1" applyFill="1"/>
    <xf numFmtId="0" fontId="10" fillId="0" borderId="0" xfId="0" applyFont="1" applyFill="1" applyBorder="1" applyAlignment="1"/>
    <xf numFmtId="0" fontId="11" fillId="0" borderId="0" xfId="0" applyNumberFormat="1" applyFont="1" applyFill="1" applyAlignment="1"/>
    <xf numFmtId="8" fontId="10" fillId="0" borderId="0" xfId="0" applyNumberFormat="1" applyFont="1" applyFill="1" applyBorder="1" applyAlignment="1">
      <alignment wrapText="1"/>
    </xf>
    <xf numFmtId="0" fontId="10" fillId="0" borderId="11" xfId="0" applyFont="1" applyFill="1" applyBorder="1" applyAlignment="1">
      <alignment wrapText="1"/>
    </xf>
    <xf numFmtId="0" fontId="10" fillId="0" borderId="5" xfId="0" applyFont="1" applyFill="1" applyBorder="1" applyAlignment="1">
      <alignment wrapText="1"/>
    </xf>
    <xf numFmtId="0" fontId="10" fillId="0" borderId="31" xfId="0" applyFont="1" applyFill="1" applyBorder="1" applyAlignment="1">
      <alignment horizontal="left"/>
    </xf>
    <xf numFmtId="43" fontId="5" fillId="0" borderId="11" xfId="2" applyFont="1" applyFill="1" applyBorder="1" applyAlignment="1">
      <alignment wrapText="1"/>
    </xf>
    <xf numFmtId="43" fontId="5" fillId="0" borderId="5" xfId="2" applyFont="1" applyFill="1" applyBorder="1" applyAlignment="1">
      <alignment wrapText="1"/>
    </xf>
    <xf numFmtId="0" fontId="9" fillId="0" borderId="0" xfId="0" applyFont="1" applyFill="1" applyBorder="1" applyAlignment="1"/>
    <xf numFmtId="0" fontId="5" fillId="0" borderId="0" xfId="0" applyNumberFormat="1" applyFont="1" applyFill="1" applyBorder="1" applyAlignment="1"/>
    <xf numFmtId="8" fontId="5" fillId="0" borderId="0" xfId="0" applyNumberFormat="1" applyFont="1" applyFill="1" applyBorder="1" applyAlignment="1">
      <alignment horizontal="right"/>
    </xf>
    <xf numFmtId="0" fontId="5" fillId="0" borderId="31" xfId="0" applyNumberFormat="1" applyFont="1" applyFill="1" applyBorder="1" applyAlignment="1"/>
    <xf numFmtId="0" fontId="5" fillId="0" borderId="0"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0" borderId="6" xfId="0" applyNumberFormat="1" applyFont="1" applyFill="1" applyBorder="1" applyAlignment="1"/>
    <xf numFmtId="0" fontId="5" fillId="0" borderId="18" xfId="0" applyNumberFormat="1" applyFont="1" applyFill="1" applyBorder="1" applyAlignment="1"/>
    <xf numFmtId="0" fontId="5" fillId="0" borderId="17" xfId="0" applyNumberFormat="1" applyFont="1" applyFill="1" applyBorder="1" applyAlignment="1"/>
    <xf numFmtId="0" fontId="5" fillId="0" borderId="7" xfId="0" applyNumberFormat="1" applyFont="1" applyFill="1" applyBorder="1" applyAlignment="1"/>
    <xf numFmtId="0" fontId="5" fillId="0" borderId="20" xfId="0" applyNumberFormat="1" applyFont="1" applyFill="1" applyBorder="1" applyAlignment="1"/>
    <xf numFmtId="43" fontId="5" fillId="0" borderId="15" xfId="2" applyFont="1" applyFill="1" applyBorder="1" applyAlignment="1">
      <alignment vertical="top"/>
    </xf>
    <xf numFmtId="43" fontId="5" fillId="0" borderId="15" xfId="0" applyNumberFormat="1" applyFont="1" applyFill="1" applyBorder="1" applyAlignment="1">
      <alignment vertical="top"/>
    </xf>
    <xf numFmtId="43" fontId="5" fillId="0" borderId="17" xfId="0" applyNumberFormat="1" applyFont="1" applyFill="1" applyBorder="1" applyAlignment="1">
      <alignment vertical="top"/>
    </xf>
    <xf numFmtId="43" fontId="5" fillId="0" borderId="17" xfId="2" applyFont="1" applyFill="1" applyBorder="1" applyAlignment="1">
      <alignment vertical="top"/>
    </xf>
    <xf numFmtId="43" fontId="5" fillId="0" borderId="7" xfId="2" applyFont="1" applyFill="1" applyBorder="1" applyAlignment="1">
      <alignment vertical="top"/>
    </xf>
    <xf numFmtId="43" fontId="5" fillId="0" borderId="7" xfId="0" applyNumberFormat="1" applyFont="1" applyFill="1" applyBorder="1" applyAlignment="1">
      <alignment vertical="top"/>
    </xf>
    <xf numFmtId="0" fontId="5" fillId="0" borderId="19" xfId="0" applyNumberFormat="1" applyFont="1" applyFill="1" applyBorder="1" applyAlignment="1">
      <alignment horizontal="center" vertical="center"/>
    </xf>
    <xf numFmtId="0" fontId="5" fillId="0" borderId="5" xfId="0" applyNumberFormat="1" applyFont="1" applyFill="1" applyBorder="1" applyAlignment="1"/>
    <xf numFmtId="0" fontId="5" fillId="0" borderId="7" xfId="0" applyNumberFormat="1" applyFont="1" applyFill="1" applyBorder="1" applyAlignment="1">
      <alignment horizontal="center"/>
    </xf>
    <xf numFmtId="0" fontId="5" fillId="0" borderId="0" xfId="0" applyFont="1" applyBorder="1"/>
    <xf numFmtId="43" fontId="5" fillId="0" borderId="17" xfId="0" applyNumberFormat="1" applyFont="1" applyFill="1" applyBorder="1" applyAlignment="1"/>
    <xf numFmtId="43" fontId="5" fillId="0" borderId="7" xfId="0" applyNumberFormat="1" applyFont="1" applyFill="1" applyBorder="1" applyAlignment="1"/>
    <xf numFmtId="43" fontId="5" fillId="0" borderId="17" xfId="2" applyFont="1" applyFill="1" applyBorder="1" applyAlignment="1"/>
    <xf numFmtId="0" fontId="5" fillId="0" borderId="31" xfId="0" applyNumberFormat="1" applyFont="1" applyFill="1" applyBorder="1" applyAlignment="1">
      <alignment horizontal="center" vertical="center"/>
    </xf>
    <xf numFmtId="43" fontId="5" fillId="0" borderId="7" xfId="2" applyFont="1" applyFill="1" applyBorder="1" applyAlignment="1"/>
    <xf numFmtId="0" fontId="5" fillId="0" borderId="0" xfId="0" applyFont="1" applyFill="1" applyBorder="1" applyAlignment="1">
      <alignment horizontal="left" vertical="top" wrapText="1"/>
    </xf>
    <xf numFmtId="43" fontId="10" fillId="0" borderId="0" xfId="2" applyFont="1" applyProtection="1">
      <protection locked="0"/>
    </xf>
    <xf numFmtId="0" fontId="17" fillId="0" borderId="0" xfId="0" applyFont="1" applyFill="1" applyBorder="1" applyAlignment="1"/>
    <xf numFmtId="0" fontId="9" fillId="0" borderId="36" xfId="0" applyNumberFormat="1" applyFont="1" applyFill="1" applyBorder="1" applyAlignment="1"/>
    <xf numFmtId="0" fontId="5" fillId="0" borderId="12" xfId="0" applyFont="1" applyFill="1" applyBorder="1" applyAlignment="1">
      <alignment wrapText="1"/>
    </xf>
    <xf numFmtId="8" fontId="5" fillId="0" borderId="12" xfId="0" applyNumberFormat="1" applyFont="1" applyFill="1" applyBorder="1" applyAlignment="1">
      <alignment horizontal="right" wrapText="1"/>
    </xf>
    <xf numFmtId="0" fontId="5" fillId="0" borderId="11" xfId="0" applyFont="1" applyFill="1" applyBorder="1" applyAlignment="1">
      <alignment wrapText="1"/>
    </xf>
    <xf numFmtId="0" fontId="5" fillId="0" borderId="0" xfId="0" applyFont="1" applyFill="1" applyAlignment="1">
      <alignment wrapText="1"/>
    </xf>
    <xf numFmtId="0" fontId="5" fillId="0" borderId="5" xfId="0" applyFont="1" applyFill="1" applyBorder="1" applyAlignment="1">
      <alignment wrapText="1"/>
    </xf>
    <xf numFmtId="0" fontId="5" fillId="0" borderId="6" xfId="0" applyFont="1" applyFill="1" applyBorder="1" applyAlignment="1">
      <alignment wrapText="1"/>
    </xf>
    <xf numFmtId="0" fontId="5" fillId="0" borderId="14" xfId="0" applyFont="1" applyFill="1" applyBorder="1" applyAlignment="1">
      <alignment wrapText="1"/>
    </xf>
    <xf numFmtId="0" fontId="5" fillId="0" borderId="8" xfId="0" applyFont="1" applyFill="1" applyBorder="1" applyAlignment="1">
      <alignment wrapText="1"/>
    </xf>
    <xf numFmtId="0" fontId="5" fillId="0" borderId="0" xfId="0" applyFont="1" applyFill="1" applyBorder="1" applyAlignment="1">
      <alignment wrapText="1"/>
    </xf>
    <xf numFmtId="43" fontId="5" fillId="0" borderId="4" xfId="2" applyFont="1" applyFill="1" applyBorder="1" applyAlignment="1">
      <alignment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20" xfId="0" applyFont="1" applyBorder="1" applyAlignment="1">
      <alignment horizontal="center"/>
    </xf>
    <xf numFmtId="0" fontId="5" fillId="0" borderId="11" xfId="0" applyFont="1" applyFill="1" applyBorder="1" applyAlignment="1">
      <alignment vertical="top" wrapText="1"/>
    </xf>
    <xf numFmtId="43" fontId="5" fillId="0" borderId="15" xfId="2" applyFont="1" applyFill="1" applyBorder="1" applyAlignment="1">
      <alignment vertical="top" wrapText="1"/>
    </xf>
    <xf numFmtId="43" fontId="5" fillId="0" borderId="16" xfId="2" applyFont="1" applyFill="1" applyBorder="1" applyAlignment="1">
      <alignment vertical="top" wrapText="1"/>
    </xf>
    <xf numFmtId="43" fontId="5" fillId="0" borderId="17" xfId="2" applyFont="1" applyFill="1" applyBorder="1" applyAlignment="1">
      <alignment vertical="top" wrapText="1"/>
    </xf>
    <xf numFmtId="0" fontId="5" fillId="0" borderId="5" xfId="0" applyFont="1" applyFill="1" applyBorder="1" applyAlignment="1">
      <alignment vertical="top" wrapText="1"/>
    </xf>
    <xf numFmtId="43" fontId="5" fillId="0" borderId="7" xfId="2" applyFont="1" applyFill="1" applyBorder="1" applyAlignment="1">
      <alignment vertical="top" wrapText="1"/>
    </xf>
    <xf numFmtId="43" fontId="5" fillId="0" borderId="20" xfId="2" applyFont="1" applyFill="1" applyBorder="1" applyAlignment="1">
      <alignment vertical="top" wrapText="1"/>
    </xf>
    <xf numFmtId="43" fontId="5" fillId="0" borderId="5" xfId="2" applyFont="1" applyFill="1" applyBorder="1" applyAlignment="1">
      <alignment vertical="top" wrapText="1"/>
    </xf>
    <xf numFmtId="43" fontId="5" fillId="0" borderId="6" xfId="2" applyFont="1" applyFill="1" applyBorder="1" applyAlignment="1">
      <alignment vertical="top" wrapText="1"/>
    </xf>
    <xf numFmtId="0" fontId="9" fillId="0" borderId="1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7" xfId="0" applyFont="1" applyBorder="1" applyAlignment="1">
      <alignment horizontal="center"/>
    </xf>
    <xf numFmtId="0" fontId="9" fillId="0" borderId="20" xfId="0" applyFont="1" applyFill="1" applyBorder="1" applyAlignment="1">
      <alignment horizontal="center" vertical="center" wrapText="1"/>
    </xf>
    <xf numFmtId="0" fontId="10" fillId="0" borderId="11" xfId="0" applyFont="1" applyFill="1" applyBorder="1" applyAlignment="1">
      <alignment vertical="top" wrapText="1"/>
    </xf>
    <xf numFmtId="0" fontId="5" fillId="0" borderId="0" xfId="0" applyFont="1" applyFill="1" applyAlignment="1">
      <alignment vertical="top" wrapText="1"/>
    </xf>
    <xf numFmtId="0" fontId="5" fillId="0" borderId="6" xfId="0" applyFont="1" applyFill="1" applyBorder="1" applyAlignment="1">
      <alignment vertical="top" wrapText="1"/>
    </xf>
    <xf numFmtId="0" fontId="9" fillId="0" borderId="11" xfId="0" applyFont="1" applyFill="1" applyBorder="1" applyAlignment="1">
      <alignment vertical="top" wrapText="1"/>
    </xf>
    <xf numFmtId="0" fontId="9" fillId="0" borderId="21" xfId="0" applyFont="1" applyFill="1" applyBorder="1" applyAlignment="1">
      <alignment vertical="center" wrapText="1"/>
    </xf>
    <xf numFmtId="0" fontId="2" fillId="0" borderId="21" xfId="0" applyFont="1" applyFill="1" applyBorder="1" applyAlignment="1">
      <alignment horizontal="center"/>
    </xf>
    <xf numFmtId="0" fontId="9" fillId="0" borderId="21" xfId="0" applyFont="1" applyFill="1" applyBorder="1" applyAlignment="1">
      <alignment horizontal="center"/>
    </xf>
    <xf numFmtId="0" fontId="9" fillId="0" borderId="21" xfId="0" applyFont="1" applyFill="1" applyBorder="1" applyAlignment="1">
      <alignment vertical="top" wrapText="1"/>
    </xf>
    <xf numFmtId="43" fontId="5" fillId="0" borderId="11" xfId="2" applyFont="1" applyFill="1" applyBorder="1" applyAlignment="1">
      <alignment vertical="top" wrapText="1"/>
    </xf>
    <xf numFmtId="0" fontId="9" fillId="0" borderId="0" xfId="0" applyNumberFormat="1" applyFont="1" applyFill="1" applyAlignment="1"/>
    <xf numFmtId="0" fontId="11" fillId="0" borderId="0" xfId="0" applyFont="1" applyFill="1" applyBorder="1" applyAlignment="1"/>
    <xf numFmtId="0" fontId="10" fillId="0" borderId="0" xfId="0" applyNumberFormat="1" applyFont="1" applyFill="1" applyAlignment="1"/>
    <xf numFmtId="0" fontId="10" fillId="0" borderId="37" xfId="0" applyFont="1" applyFill="1" applyBorder="1" applyAlignment="1">
      <alignment horizontal="left"/>
    </xf>
    <xf numFmtId="0" fontId="10" fillId="0" borderId="33" xfId="0" applyFont="1" applyFill="1" applyBorder="1" applyAlignment="1">
      <alignment horizontal="left" wrapText="1"/>
    </xf>
    <xf numFmtId="0" fontId="10" fillId="0" borderId="38" xfId="0" applyFont="1" applyFill="1" applyBorder="1" applyAlignment="1">
      <alignment horizontal="left" wrapText="1"/>
    </xf>
    <xf numFmtId="8" fontId="10" fillId="0" borderId="32" xfId="0" applyNumberFormat="1" applyFont="1" applyFill="1" applyBorder="1" applyAlignment="1">
      <alignment horizontal="right" wrapText="1"/>
    </xf>
    <xf numFmtId="3" fontId="10" fillId="0" borderId="14" xfId="0" applyNumberFormat="1" applyFont="1" applyFill="1" applyBorder="1" applyAlignment="1">
      <alignment horizontal="center" vertical="top" wrapText="1"/>
    </xf>
    <xf numFmtId="0" fontId="10" fillId="0" borderId="16" xfId="0" applyFont="1" applyFill="1" applyBorder="1" applyAlignment="1">
      <alignment wrapText="1"/>
    </xf>
    <xf numFmtId="0" fontId="10" fillId="0" borderId="18" xfId="0" applyFont="1" applyFill="1" applyBorder="1" applyAlignment="1">
      <alignment wrapText="1"/>
    </xf>
    <xf numFmtId="0" fontId="10" fillId="0" borderId="6" xfId="0" applyFont="1" applyFill="1" applyBorder="1" applyAlignment="1">
      <alignment wrapText="1"/>
    </xf>
    <xf numFmtId="43" fontId="10" fillId="0" borderId="11" xfId="2" applyFont="1" applyFill="1" applyBorder="1" applyAlignment="1">
      <alignment wrapText="1"/>
    </xf>
    <xf numFmtId="43" fontId="10" fillId="0" borderId="5" xfId="2" applyFont="1" applyFill="1" applyBorder="1" applyAlignment="1">
      <alignment wrapText="1"/>
    </xf>
    <xf numFmtId="0" fontId="9" fillId="0" borderId="0" xfId="0" applyFont="1"/>
    <xf numFmtId="49" fontId="5" fillId="0" borderId="0" xfId="0" applyNumberFormat="1" applyFont="1"/>
    <xf numFmtId="0" fontId="3" fillId="0" borderId="0" xfId="0" applyFont="1" applyFill="1" applyBorder="1" applyAlignment="1">
      <alignment horizontal="center" vertical="center" wrapText="1"/>
    </xf>
    <xf numFmtId="0" fontId="2" fillId="0" borderId="0" xfId="0" applyFont="1" applyFill="1" applyBorder="1" applyAlignment="1">
      <alignment vertical="top" wrapText="1"/>
    </xf>
    <xf numFmtId="43" fontId="18" fillId="0" borderId="0" xfId="0" applyNumberFormat="1" applyFont="1" applyFill="1" applyBorder="1" applyAlignment="1">
      <alignment vertical="top" wrapText="1"/>
    </xf>
    <xf numFmtId="0" fontId="3" fillId="0" borderId="0" xfId="0" applyFont="1" applyFill="1" applyBorder="1" applyAlignment="1">
      <alignment vertical="top" wrapText="1"/>
    </xf>
    <xf numFmtId="43" fontId="14" fillId="0" borderId="0" xfId="0" applyNumberFormat="1" applyFont="1" applyFill="1" applyBorder="1" applyAlignment="1">
      <alignment vertical="top" wrapText="1"/>
    </xf>
    <xf numFmtId="43" fontId="18" fillId="0" borderId="0" xfId="0" applyNumberFormat="1" applyFont="1" applyFill="1" applyBorder="1" applyAlignment="1">
      <alignment horizontal="right" vertical="top" wrapText="1"/>
    </xf>
    <xf numFmtId="0" fontId="5" fillId="0" borderId="0" xfId="0" applyFont="1" applyFill="1" applyBorder="1" applyAlignment="1">
      <alignment horizontal="center" vertical="center"/>
    </xf>
    <xf numFmtId="0" fontId="5" fillId="0" borderId="14" xfId="0" applyFont="1" applyFill="1" applyBorder="1" applyAlignment="1">
      <alignment vertical="top" wrapText="1"/>
    </xf>
    <xf numFmtId="43" fontId="5" fillId="0" borderId="13" xfId="2" applyFont="1" applyFill="1" applyBorder="1" applyAlignment="1">
      <alignment vertical="top" wrapText="1"/>
    </xf>
    <xf numFmtId="43" fontId="5" fillId="0" borderId="0" xfId="2" applyFont="1" applyFill="1"/>
    <xf numFmtId="43" fontId="5" fillId="0" borderId="0" xfId="2" applyFont="1" applyFill="1" applyAlignment="1">
      <alignment vertical="top" wrapText="1"/>
    </xf>
    <xf numFmtId="0" fontId="5" fillId="0" borderId="4" xfId="0" applyFont="1" applyBorder="1" applyAlignment="1">
      <alignment horizontal="justify" vertical="top" wrapText="1"/>
    </xf>
    <xf numFmtId="43" fontId="20" fillId="0" borderId="4" xfId="2" applyFont="1" applyBorder="1" applyAlignment="1">
      <alignment vertical="top" wrapText="1"/>
    </xf>
    <xf numFmtId="0" fontId="20" fillId="0" borderId="4" xfId="0" applyFont="1" applyBorder="1" applyAlignment="1">
      <alignment vertical="top" wrapText="1"/>
    </xf>
    <xf numFmtId="4" fontId="20" fillId="0" borderId="4" xfId="0" applyNumberFormat="1" applyFont="1" applyBorder="1" applyAlignment="1">
      <alignment vertical="top" wrapText="1"/>
    </xf>
    <xf numFmtId="0" fontId="9" fillId="0" borderId="0" xfId="0" applyFont="1" applyFill="1" applyAlignment="1">
      <alignment wrapText="1"/>
    </xf>
    <xf numFmtId="0" fontId="9" fillId="0" borderId="11" xfId="0" applyFont="1" applyFill="1" applyBorder="1" applyAlignment="1">
      <alignment horizontal="center" wrapText="1"/>
    </xf>
    <xf numFmtId="0" fontId="9" fillId="0" borderId="0" xfId="0" applyFont="1" applyFill="1" applyBorder="1" applyAlignment="1">
      <alignment horizontal="center" wrapText="1"/>
    </xf>
    <xf numFmtId="0" fontId="5" fillId="0" borderId="5" xfId="0" applyFont="1" applyFill="1" applyBorder="1" applyAlignment="1">
      <alignment horizontal="justify" vertical="top" wrapText="1"/>
    </xf>
    <xf numFmtId="0" fontId="5" fillId="0" borderId="0" xfId="0" applyFont="1" applyFill="1" applyAlignment="1">
      <alignment horizontal="justify" vertical="top" wrapText="1"/>
    </xf>
    <xf numFmtId="0" fontId="5" fillId="0" borderId="4" xfId="0" applyFont="1" applyFill="1" applyBorder="1" applyAlignment="1">
      <alignment horizontal="justify" vertical="top" wrapText="1"/>
    </xf>
    <xf numFmtId="0" fontId="9" fillId="0" borderId="0" xfId="0" applyFont="1" applyAlignment="1">
      <alignment horizontal="justify"/>
    </xf>
    <xf numFmtId="6" fontId="5" fillId="0" borderId="0" xfId="0" applyNumberFormat="1" applyFont="1"/>
    <xf numFmtId="0" fontId="9" fillId="5" borderId="22" xfId="0" applyFont="1" applyFill="1" applyBorder="1" applyAlignment="1">
      <alignment horizontal="center" vertical="top" wrapText="1"/>
    </xf>
    <xf numFmtId="0" fontId="9" fillId="5" borderId="25" xfId="0" applyFont="1" applyFill="1" applyBorder="1" applyAlignment="1">
      <alignment horizontal="center" vertical="top" wrapText="1"/>
    </xf>
    <xf numFmtId="3" fontId="5" fillId="0" borderId="39" xfId="0" applyNumberFormat="1" applyFont="1" applyBorder="1" applyAlignment="1">
      <alignment horizontal="justify" vertical="top" wrapText="1"/>
    </xf>
    <xf numFmtId="0" fontId="5" fillId="0" borderId="39" xfId="0" applyFont="1" applyBorder="1" applyAlignment="1">
      <alignment horizontal="justify" vertical="top" wrapText="1"/>
    </xf>
    <xf numFmtId="14" fontId="5" fillId="0" borderId="39" xfId="0" applyNumberFormat="1" applyFont="1" applyBorder="1" applyAlignment="1">
      <alignment horizontal="center" vertical="top" wrapText="1"/>
    </xf>
    <xf numFmtId="4" fontId="5" fillId="0" borderId="35" xfId="0" applyNumberFormat="1" applyFont="1" applyBorder="1" applyAlignment="1">
      <alignment horizontal="right" vertical="top" wrapText="1"/>
    </xf>
    <xf numFmtId="43" fontId="5" fillId="0" borderId="35" xfId="2" applyFont="1" applyBorder="1" applyAlignment="1">
      <alignment horizontal="right" vertical="top" wrapText="1"/>
    </xf>
    <xf numFmtId="0" fontId="9" fillId="5" borderId="39" xfId="0" applyFont="1" applyFill="1" applyBorder="1" applyAlignment="1">
      <alignment horizontal="justify" vertical="top" wrapText="1"/>
    </xf>
    <xf numFmtId="4" fontId="9" fillId="5" borderId="35" xfId="0" applyNumberFormat="1" applyFont="1" applyFill="1" applyBorder="1" applyAlignment="1">
      <alignment horizontal="right" vertical="top" wrapText="1"/>
    </xf>
    <xf numFmtId="0" fontId="5" fillId="0" borderId="0" xfId="0" applyFont="1" applyAlignment="1">
      <alignment horizontal="justify"/>
    </xf>
    <xf numFmtId="0" fontId="5" fillId="0" borderId="0" xfId="0" applyFont="1" applyAlignment="1">
      <alignment wrapText="1"/>
    </xf>
    <xf numFmtId="0" fontId="7" fillId="2" borderId="13" xfId="0" applyFont="1" applyFill="1" applyBorder="1"/>
    <xf numFmtId="0" fontId="7" fillId="2" borderId="14" xfId="0" applyFont="1" applyFill="1" applyBorder="1" applyAlignment="1">
      <alignment horizontal="center"/>
    </xf>
    <xf numFmtId="38" fontId="23" fillId="2" borderId="8" xfId="0" applyNumberFormat="1" applyFont="1" applyFill="1" applyBorder="1"/>
    <xf numFmtId="38" fontId="23" fillId="2" borderId="14" xfId="0" applyNumberFormat="1" applyFont="1" applyFill="1" applyBorder="1"/>
    <xf numFmtId="10" fontId="23" fillId="2" borderId="4" xfId="0" applyNumberFormat="1" applyFont="1" applyFill="1" applyBorder="1"/>
    <xf numFmtId="0" fontId="23" fillId="2" borderId="4" xfId="0" applyFont="1" applyFill="1" applyBorder="1"/>
    <xf numFmtId="38" fontId="23" fillId="2" borderId="4" xfId="0" applyNumberFormat="1" applyFont="1" applyFill="1" applyBorder="1"/>
    <xf numFmtId="10" fontId="23" fillId="2" borderId="6" xfId="0" applyNumberFormat="1" applyFont="1" applyFill="1" applyBorder="1"/>
    <xf numFmtId="0" fontId="23" fillId="2" borderId="17" xfId="0" applyFont="1" applyFill="1" applyBorder="1"/>
    <xf numFmtId="38" fontId="23" fillId="2" borderId="6" xfId="0" applyNumberFormat="1" applyFont="1" applyFill="1" applyBorder="1"/>
    <xf numFmtId="38" fontId="23" fillId="2" borderId="13" xfId="0" applyNumberFormat="1" applyFont="1" applyFill="1" applyBorder="1"/>
    <xf numFmtId="43" fontId="24" fillId="0" borderId="11" xfId="2" applyFont="1" applyFill="1" applyBorder="1"/>
    <xf numFmtId="43" fontId="24" fillId="2" borderId="11" xfId="2" applyFont="1" applyFill="1" applyBorder="1"/>
    <xf numFmtId="43" fontId="24" fillId="2" borderId="15" xfId="0" applyNumberFormat="1" applyFont="1" applyFill="1" applyBorder="1"/>
    <xf numFmtId="43" fontId="23" fillId="0" borderId="17" xfId="2" applyFont="1" applyFill="1" applyBorder="1"/>
    <xf numFmtId="43" fontId="23" fillId="2" borderId="17" xfId="2" applyFont="1" applyFill="1" applyBorder="1"/>
    <xf numFmtId="43" fontId="24" fillId="2" borderId="17" xfId="0" applyNumberFormat="1" applyFont="1" applyFill="1" applyBorder="1"/>
    <xf numFmtId="43" fontId="7" fillId="0" borderId="11" xfId="2" applyFont="1" applyFill="1" applyBorder="1"/>
    <xf numFmtId="43" fontId="7" fillId="2" borderId="11" xfId="2" applyFont="1" applyFill="1" applyBorder="1"/>
    <xf numFmtId="0" fontId="23" fillId="2" borderId="18" xfId="0" applyFont="1" applyFill="1" applyBorder="1"/>
    <xf numFmtId="0" fontId="23" fillId="2" borderId="11" xfId="0" applyFont="1" applyFill="1" applyBorder="1"/>
    <xf numFmtId="43" fontId="23" fillId="0" borderId="11" xfId="2" applyFont="1" applyFill="1" applyBorder="1"/>
    <xf numFmtId="43" fontId="23" fillId="2" borderId="11" xfId="2" applyFont="1" applyFill="1" applyBorder="1"/>
    <xf numFmtId="0" fontId="24" fillId="2" borderId="11" xfId="0" applyFont="1" applyFill="1" applyBorder="1"/>
    <xf numFmtId="43" fontId="24" fillId="0" borderId="17" xfId="2" applyFont="1" applyFill="1" applyBorder="1"/>
    <xf numFmtId="43" fontId="24" fillId="2" borderId="17" xfId="2" applyFont="1" applyFill="1" applyBorder="1"/>
    <xf numFmtId="0" fontId="24" fillId="2" borderId="18" xfId="0" applyFont="1" applyFill="1" applyBorder="1"/>
    <xf numFmtId="43" fontId="24" fillId="2" borderId="7" xfId="0" applyNumberFormat="1" applyFont="1" applyFill="1" applyBorder="1"/>
    <xf numFmtId="43" fontId="24" fillId="2" borderId="14" xfId="2" applyFont="1" applyFill="1" applyBorder="1"/>
    <xf numFmtId="43" fontId="24" fillId="2" borderId="4" xfId="0" applyNumberFormat="1" applyFont="1" applyFill="1" applyBorder="1"/>
    <xf numFmtId="43" fontId="16" fillId="2" borderId="4" xfId="0" applyNumberFormat="1" applyFont="1" applyFill="1" applyBorder="1"/>
    <xf numFmtId="0" fontId="8" fillId="0" borderId="0" xfId="0" applyFont="1" applyBorder="1"/>
    <xf numFmtId="0" fontId="7" fillId="0" borderId="22" xfId="0" applyFont="1" applyBorder="1" applyAlignment="1">
      <alignment horizontal="center"/>
    </xf>
    <xf numFmtId="0" fontId="7" fillId="0" borderId="24" xfId="0" applyFont="1" applyBorder="1" applyAlignment="1">
      <alignment horizontal="center" vertical="center"/>
    </xf>
    <xf numFmtId="49" fontId="7" fillId="0" borderId="24"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0" fontId="7" fillId="0" borderId="9" xfId="0" applyFont="1" applyBorder="1"/>
    <xf numFmtId="164" fontId="0" fillId="0" borderId="9" xfId="2" applyNumberFormat="1" applyFont="1" applyBorder="1"/>
    <xf numFmtId="164" fontId="0" fillId="0" borderId="44" xfId="2" applyNumberFormat="1" applyFont="1" applyBorder="1"/>
    <xf numFmtId="0" fontId="8" fillId="0" borderId="24" xfId="0" applyFont="1" applyFill="1" applyBorder="1"/>
    <xf numFmtId="164" fontId="0" fillId="0" borderId="21" xfId="2" applyNumberFormat="1" applyFont="1" applyBorder="1"/>
    <xf numFmtId="0" fontId="8" fillId="0" borderId="34" xfId="0" applyFont="1" applyFill="1" applyBorder="1"/>
    <xf numFmtId="164" fontId="0" fillId="0" borderId="10" xfId="2" applyNumberFormat="1" applyFont="1" applyBorder="1"/>
    <xf numFmtId="0" fontId="25" fillId="0" borderId="0" xfId="0" applyFont="1" applyFill="1" applyBorder="1" applyAlignment="1">
      <alignment horizontal="left" vertical="top" wrapText="1" indent="1"/>
    </xf>
    <xf numFmtId="0" fontId="5" fillId="0" borderId="5" xfId="0" applyNumberFormat="1" applyFont="1" applyFill="1" applyBorder="1" applyAlignment="1">
      <alignment horizontal="center"/>
    </xf>
    <xf numFmtId="0" fontId="9" fillId="0" borderId="0" xfId="0" applyFont="1" applyFill="1" applyBorder="1" applyAlignment="1">
      <alignment horizontal="justify" vertical="top" wrapText="1"/>
    </xf>
    <xf numFmtId="4" fontId="9" fillId="0" borderId="0" xfId="0" applyNumberFormat="1" applyFont="1" applyFill="1" applyBorder="1" applyAlignment="1">
      <alignment horizontal="right" vertical="top" wrapText="1"/>
    </xf>
    <xf numFmtId="43" fontId="1" fillId="0" borderId="17" xfId="2" applyFont="1" applyFill="1" applyBorder="1"/>
    <xf numFmtId="0" fontId="1" fillId="0" borderId="0" xfId="0" applyFont="1"/>
    <xf numFmtId="0" fontId="13" fillId="0" borderId="0" xfId="0" applyFont="1"/>
    <xf numFmtId="167" fontId="6" fillId="0" borderId="0" xfId="2" applyNumberFormat="1" applyFont="1" applyFill="1" applyBorder="1" applyAlignment="1"/>
    <xf numFmtId="166" fontId="6" fillId="0" borderId="0" xfId="2" applyNumberFormat="1" applyFont="1" applyFill="1" applyBorder="1" applyAlignment="1"/>
    <xf numFmtId="43" fontId="9" fillId="0" borderId="11" xfId="0" applyNumberFormat="1" applyFont="1" applyFill="1" applyBorder="1" applyAlignment="1">
      <alignment vertical="top" wrapText="1"/>
    </xf>
    <xf numFmtId="0" fontId="11" fillId="2" borderId="21" xfId="4" applyFont="1" applyFill="1" applyBorder="1" applyAlignment="1">
      <alignment horizontal="center" vertical="top" wrapText="1"/>
    </xf>
    <xf numFmtId="0" fontId="11" fillId="2" borderId="21" xfId="4" applyFont="1" applyFill="1" applyBorder="1" applyAlignment="1">
      <alignment horizontal="center" vertical="center" wrapText="1"/>
    </xf>
    <xf numFmtId="0" fontId="2" fillId="2" borderId="51" xfId="4" applyFont="1" applyFill="1" applyBorder="1" applyAlignment="1">
      <alignment horizontal="center" vertical="center" wrapText="1"/>
    </xf>
    <xf numFmtId="0" fontId="11" fillId="0" borderId="4" xfId="4" applyFont="1" applyBorder="1" applyAlignment="1">
      <alignment horizontal="justify" vertical="top" wrapText="1"/>
    </xf>
    <xf numFmtId="0" fontId="11" fillId="0" borderId="7" xfId="4" applyFont="1" applyBorder="1" applyAlignment="1">
      <alignment horizontal="justify" vertical="top" wrapText="1"/>
    </xf>
    <xf numFmtId="0" fontId="10" fillId="0" borderId="20" xfId="4" applyFont="1" applyBorder="1"/>
    <xf numFmtId="0" fontId="10" fillId="3" borderId="4" xfId="4" applyFont="1" applyFill="1" applyBorder="1"/>
    <xf numFmtId="0" fontId="10" fillId="0" borderId="4" xfId="4" applyFont="1" applyBorder="1" applyAlignment="1">
      <alignment horizontal="justify" vertical="top" wrapText="1"/>
    </xf>
    <xf numFmtId="43" fontId="11" fillId="0" borderId="4" xfId="5" applyFont="1" applyBorder="1" applyAlignment="1">
      <alignment horizontal="justify" vertical="top" wrapText="1"/>
    </xf>
    <xf numFmtId="0" fontId="11" fillId="0" borderId="13" xfId="4" applyFont="1" applyBorder="1" applyAlignment="1">
      <alignment horizontal="justify" vertical="top" wrapText="1"/>
    </xf>
    <xf numFmtId="43" fontId="10" fillId="0" borderId="4" xfId="5" applyFont="1" applyBorder="1" applyAlignment="1">
      <alignment horizontal="justify" vertical="top" wrapText="1"/>
    </xf>
    <xf numFmtId="0" fontId="10" fillId="0" borderId="13" xfId="4" applyFont="1" applyBorder="1" applyAlignment="1">
      <alignment horizontal="justify" vertical="top" wrapText="1"/>
    </xf>
    <xf numFmtId="0" fontId="10" fillId="0" borderId="4" xfId="4" applyFont="1" applyBorder="1"/>
    <xf numFmtId="0" fontId="10" fillId="0" borderId="13" xfId="4" applyFont="1" applyBorder="1"/>
    <xf numFmtId="0" fontId="10" fillId="0" borderId="14" xfId="4" applyFont="1" applyBorder="1" applyAlignment="1">
      <alignment horizontal="justify" vertical="top" wrapText="1"/>
    </xf>
    <xf numFmtId="43" fontId="10" fillId="0" borderId="14" xfId="5" applyFont="1" applyBorder="1" applyAlignment="1">
      <alignment horizontal="justify" vertical="top" wrapText="1"/>
    </xf>
    <xf numFmtId="0" fontId="5" fillId="0" borderId="4" xfId="4" applyFont="1" applyBorder="1"/>
    <xf numFmtId="0" fontId="11" fillId="6" borderId="4" xfId="4" applyFont="1" applyFill="1" applyBorder="1" applyAlignment="1">
      <alignment horizontal="center"/>
    </xf>
    <xf numFmtId="0" fontId="10" fillId="2" borderId="13" xfId="4" applyFont="1" applyFill="1" applyBorder="1" applyAlignment="1">
      <alignment horizontal="center"/>
    </xf>
    <xf numFmtId="43" fontId="10" fillId="2" borderId="14" xfId="4" applyNumberFormat="1" applyFont="1" applyFill="1" applyBorder="1" applyAlignment="1">
      <alignment horizontal="center"/>
    </xf>
    <xf numFmtId="43" fontId="10" fillId="2" borderId="8" xfId="4" applyNumberFormat="1" applyFont="1" applyFill="1" applyBorder="1" applyAlignment="1">
      <alignment horizontal="center"/>
    </xf>
    <xf numFmtId="0" fontId="5" fillId="0" borderId="0" xfId="4" applyFont="1"/>
    <xf numFmtId="0" fontId="1" fillId="0" borderId="0" xfId="4"/>
    <xf numFmtId="49" fontId="1" fillId="2" borderId="18" xfId="0" applyNumberFormat="1" applyFont="1" applyFill="1" applyBorder="1" applyAlignment="1">
      <alignment horizontal="right"/>
    </xf>
    <xf numFmtId="0" fontId="1" fillId="2" borderId="11" xfId="0" applyFont="1" applyFill="1" applyBorder="1"/>
    <xf numFmtId="0" fontId="1" fillId="2" borderId="18" xfId="0" applyFont="1" applyFill="1" applyBorder="1"/>
    <xf numFmtId="38" fontId="1" fillId="2" borderId="11" xfId="0" applyNumberFormat="1" applyFont="1" applyFill="1" applyBorder="1"/>
    <xf numFmtId="0" fontId="24" fillId="2" borderId="17" xfId="0" applyFont="1" applyFill="1" applyBorder="1"/>
    <xf numFmtId="0" fontId="24" fillId="2" borderId="20" xfId="0" applyFont="1" applyFill="1" applyBorder="1"/>
    <xf numFmtId="0" fontId="24" fillId="2" borderId="5" xfId="0" applyFont="1" applyFill="1" applyBorder="1"/>
    <xf numFmtId="10" fontId="23" fillId="2" borderId="20" xfId="0" applyNumberFormat="1" applyFont="1" applyFill="1" applyBorder="1"/>
    <xf numFmtId="168" fontId="6" fillId="0" borderId="0" xfId="1" applyNumberFormat="1" applyFont="1" applyFill="1" applyBorder="1" applyAlignment="1"/>
    <xf numFmtId="43" fontId="5" fillId="0" borderId="15" xfId="2" applyFont="1" applyFill="1" applyBorder="1" applyAlignment="1">
      <alignment wrapText="1"/>
    </xf>
    <xf numFmtId="43" fontId="5" fillId="0" borderId="17" xfId="2" applyFont="1" applyFill="1" applyBorder="1" applyAlignment="1">
      <alignment wrapText="1"/>
    </xf>
    <xf numFmtId="43" fontId="5" fillId="0" borderId="7" xfId="2" applyFont="1" applyFill="1" applyBorder="1" applyAlignment="1">
      <alignment wrapText="1"/>
    </xf>
    <xf numFmtId="4" fontId="22" fillId="0" borderId="35" xfId="0" applyNumberFormat="1" applyFont="1" applyBorder="1" applyAlignment="1">
      <alignment horizontal="right" vertical="top" wrapText="1"/>
    </xf>
    <xf numFmtId="0" fontId="9" fillId="0" borderId="0" xfId="0" applyFont="1" applyAlignment="1">
      <alignment horizontal="center"/>
    </xf>
    <xf numFmtId="0" fontId="29" fillId="0" borderId="53" xfId="0" applyFont="1" applyBorder="1"/>
    <xf numFmtId="0" fontId="29" fillId="0" borderId="53" xfId="0" applyFont="1" applyBorder="1" applyAlignment="1">
      <alignment horizontal="center" wrapText="1"/>
    </xf>
    <xf numFmtId="0" fontId="30" fillId="7" borderId="54" xfId="0" applyFont="1" applyFill="1" applyBorder="1" applyAlignment="1">
      <alignment wrapText="1"/>
    </xf>
    <xf numFmtId="0" fontId="30" fillId="7" borderId="55" xfId="0" applyFont="1" applyFill="1" applyBorder="1" applyAlignment="1">
      <alignment wrapText="1"/>
    </xf>
    <xf numFmtId="0" fontId="30" fillId="7" borderId="55" xfId="0" applyFont="1" applyFill="1" applyBorder="1" applyAlignment="1">
      <alignment horizontal="center" wrapText="1"/>
    </xf>
    <xf numFmtId="0" fontId="29" fillId="0" borderId="56" xfId="0" applyFont="1" applyBorder="1"/>
    <xf numFmtId="4" fontId="29" fillId="0" borderId="53" xfId="0" applyNumberFormat="1" applyFont="1" applyBorder="1" applyAlignment="1">
      <alignment horizontal="right" wrapText="1"/>
    </xf>
    <xf numFmtId="4" fontId="29" fillId="0" borderId="53" xfId="0" applyNumberFormat="1" applyFont="1" applyBorder="1" applyAlignment="1">
      <alignment horizontal="center" wrapText="1"/>
    </xf>
    <xf numFmtId="0" fontId="30" fillId="7" borderId="57" xfId="0" applyFont="1" applyFill="1" applyBorder="1" applyAlignment="1">
      <alignment horizontal="center" wrapText="1"/>
    </xf>
    <xf numFmtId="0" fontId="13" fillId="0" borderId="0" xfId="0" applyFont="1" applyAlignment="1">
      <alignment horizontal="justify"/>
    </xf>
    <xf numFmtId="0" fontId="31" fillId="0" borderId="0" xfId="0" applyFont="1"/>
    <xf numFmtId="0" fontId="1" fillId="0" borderId="58" xfId="0" applyFont="1" applyFill="1" applyBorder="1" applyAlignment="1">
      <alignment wrapText="1"/>
    </xf>
    <xf numFmtId="0" fontId="7" fillId="0" borderId="9" xfId="0" applyFont="1" applyFill="1" applyBorder="1" applyAlignment="1">
      <alignment horizontal="center" vertical="top" wrapText="1"/>
    </xf>
    <xf numFmtId="0" fontId="7" fillId="0" borderId="23" xfId="0" applyFont="1" applyFill="1" applyBorder="1" applyAlignment="1">
      <alignment horizontal="center" wrapText="1"/>
    </xf>
    <xf numFmtId="0" fontId="7" fillId="0" borderId="44" xfId="0" applyFont="1" applyFill="1" applyBorder="1" applyAlignment="1">
      <alignment horizontal="center" vertical="top" wrapText="1"/>
    </xf>
    <xf numFmtId="0" fontId="7" fillId="0" borderId="26" xfId="0" applyFont="1" applyFill="1" applyBorder="1" applyAlignment="1">
      <alignment horizontal="center" wrapText="1"/>
    </xf>
    <xf numFmtId="0" fontId="7" fillId="0" borderId="10" xfId="0" applyFont="1" applyFill="1" applyBorder="1" applyAlignment="1">
      <alignment horizontal="center" vertical="top" wrapText="1"/>
    </xf>
    <xf numFmtId="0" fontId="7" fillId="0" borderId="28" xfId="0" applyFont="1" applyFill="1" applyBorder="1" applyAlignment="1">
      <alignment wrapText="1"/>
    </xf>
    <xf numFmtId="43" fontId="1" fillId="4" borderId="28" xfId="2" applyFont="1" applyFill="1" applyBorder="1" applyAlignment="1">
      <alignment wrapText="1"/>
    </xf>
    <xf numFmtId="0" fontId="7" fillId="0" borderId="30" xfId="0" applyFont="1" applyFill="1" applyBorder="1" applyAlignment="1">
      <alignment wrapText="1"/>
    </xf>
    <xf numFmtId="43" fontId="1" fillId="4" borderId="30" xfId="2" applyFont="1" applyFill="1" applyBorder="1" applyAlignment="1">
      <alignment wrapText="1"/>
    </xf>
    <xf numFmtId="0" fontId="7" fillId="0" borderId="59" xfId="0" applyFont="1" applyFill="1" applyBorder="1" applyAlignment="1">
      <alignment wrapText="1"/>
    </xf>
    <xf numFmtId="43" fontId="1" fillId="4" borderId="59" xfId="2" applyFont="1" applyFill="1" applyBorder="1" applyAlignment="1">
      <alignment wrapText="1"/>
    </xf>
    <xf numFmtId="0" fontId="32" fillId="0" borderId="0" xfId="0" applyFont="1" applyFill="1" applyBorder="1" applyAlignment="1">
      <alignment horizontal="left"/>
    </xf>
    <xf numFmtId="0" fontId="6" fillId="0" borderId="0" xfId="0" applyFont="1" applyFill="1" applyBorder="1" applyAlignment="1"/>
    <xf numFmtId="8" fontId="12" fillId="0" borderId="67" xfId="0" applyNumberFormat="1" applyFont="1" applyFill="1" applyBorder="1" applyAlignment="1">
      <alignment horizontal="right"/>
    </xf>
    <xf numFmtId="0" fontId="12" fillId="0" borderId="22" xfId="0" applyNumberFormat="1" applyFont="1" applyFill="1" applyBorder="1" applyAlignment="1"/>
    <xf numFmtId="0" fontId="6" fillId="0" borderId="22" xfId="0" applyNumberFormat="1" applyFont="1" applyFill="1" applyBorder="1" applyAlignment="1"/>
    <xf numFmtId="0" fontId="6" fillId="0" borderId="11" xfId="0" applyNumberFormat="1" applyFont="1" applyFill="1" applyBorder="1" applyAlignment="1"/>
    <xf numFmtId="0" fontId="33" fillId="4" borderId="68" xfId="0" applyNumberFormat="1" applyFont="1" applyFill="1" applyBorder="1" applyAlignment="1">
      <alignment horizontal="center" vertical="center"/>
    </xf>
    <xf numFmtId="0" fontId="33" fillId="4" borderId="39" xfId="0" applyNumberFormat="1" applyFont="1" applyFill="1" applyBorder="1" applyAlignment="1">
      <alignment vertical="center"/>
    </xf>
    <xf numFmtId="0" fontId="6" fillId="0" borderId="25" xfId="0" applyNumberFormat="1" applyFont="1" applyFill="1" applyBorder="1" applyAlignment="1">
      <alignment vertical="justify"/>
    </xf>
    <xf numFmtId="0" fontId="12"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xf numFmtId="0" fontId="12" fillId="8" borderId="68" xfId="0" applyFont="1" applyFill="1" applyBorder="1" applyAlignment="1">
      <alignment horizontal="center" vertical="center"/>
    </xf>
    <xf numFmtId="0" fontId="12" fillId="8" borderId="9" xfId="0" applyFont="1" applyFill="1" applyBorder="1" applyAlignment="1">
      <alignment horizontal="center" vertical="center" wrapText="1"/>
    </xf>
    <xf numFmtId="0" fontId="12" fillId="8" borderId="23" xfId="0" applyFont="1" applyFill="1" applyBorder="1" applyAlignment="1">
      <alignment horizontal="center" vertical="center" wrapText="1"/>
    </xf>
    <xf numFmtId="0" fontId="6" fillId="0" borderId="65" xfId="0" applyFont="1" applyBorder="1"/>
    <xf numFmtId="171" fontId="6" fillId="0" borderId="28" xfId="2" applyNumberFormat="1" applyFont="1" applyFill="1" applyBorder="1" applyAlignment="1">
      <alignment horizontal="center" vertical="center"/>
    </xf>
    <xf numFmtId="171" fontId="6" fillId="0" borderId="63" xfId="2" applyNumberFormat="1" applyFont="1" applyFill="1" applyBorder="1" applyAlignment="1">
      <alignment horizontal="center" vertical="center"/>
    </xf>
    <xf numFmtId="0" fontId="6" fillId="0" borderId="29" xfId="0" applyFont="1" applyBorder="1"/>
    <xf numFmtId="171" fontId="6" fillId="0" borderId="30" xfId="2" applyNumberFormat="1" applyFont="1" applyFill="1" applyBorder="1" applyAlignment="1">
      <alignment horizontal="center" vertical="center"/>
    </xf>
    <xf numFmtId="171" fontId="6" fillId="0" borderId="27" xfId="2" applyNumberFormat="1" applyFont="1" applyFill="1" applyBorder="1" applyAlignment="1">
      <alignment horizontal="center" vertical="center"/>
    </xf>
    <xf numFmtId="171" fontId="12" fillId="0" borderId="30" xfId="2" applyNumberFormat="1" applyFont="1" applyBorder="1" applyAlignment="1" applyProtection="1">
      <alignment horizontal="center" vertical="center"/>
      <protection locked="0"/>
    </xf>
    <xf numFmtId="171" fontId="12" fillId="0" borderId="27" xfId="2" applyNumberFormat="1" applyFont="1" applyBorder="1" applyAlignment="1" applyProtection="1">
      <alignment horizontal="center" vertical="center"/>
      <protection locked="0"/>
    </xf>
    <xf numFmtId="171" fontId="12" fillId="0" borderId="30" xfId="2" applyNumberFormat="1" applyFont="1" applyFill="1" applyBorder="1" applyAlignment="1">
      <alignment horizontal="center" vertical="center"/>
    </xf>
    <xf numFmtId="171" fontId="12" fillId="0" borderId="27" xfId="2" applyNumberFormat="1" applyFont="1" applyFill="1" applyBorder="1" applyAlignment="1">
      <alignment horizontal="center" vertical="center"/>
    </xf>
    <xf numFmtId="0" fontId="6" fillId="0" borderId="66" xfId="0" applyFont="1" applyBorder="1"/>
    <xf numFmtId="171" fontId="12" fillId="0" borderId="59" xfId="2" applyNumberFormat="1" applyFont="1" applyFill="1" applyBorder="1" applyAlignment="1" applyProtection="1">
      <alignment horizontal="center" vertical="center"/>
      <protection locked="0"/>
    </xf>
    <xf numFmtId="171" fontId="12" fillId="0" borderId="47" xfId="2" applyNumberFormat="1" applyFont="1" applyFill="1" applyBorder="1" applyAlignment="1" applyProtection="1">
      <alignment horizontal="center" vertical="center"/>
      <protection locked="0"/>
    </xf>
    <xf numFmtId="0" fontId="6" fillId="0" borderId="35" xfId="0" applyFont="1" applyFill="1" applyBorder="1"/>
    <xf numFmtId="38" fontId="12" fillId="0" borderId="35" xfId="2" applyNumberFormat="1" applyFont="1" applyFill="1" applyBorder="1"/>
    <xf numFmtId="0" fontId="12" fillId="8" borderId="22" xfId="0" applyFont="1" applyFill="1" applyBorder="1" applyAlignment="1">
      <alignment horizontal="center" vertical="center"/>
    </xf>
    <xf numFmtId="38" fontId="12" fillId="8" borderId="21" xfId="2" applyNumberFormat="1" applyFont="1" applyFill="1" applyBorder="1" applyAlignment="1">
      <alignment horizontal="center" vertical="center"/>
    </xf>
    <xf numFmtId="38" fontId="12" fillId="8" borderId="24" xfId="2" applyNumberFormat="1" applyFont="1" applyFill="1" applyBorder="1" applyAlignment="1">
      <alignment horizontal="center" vertical="center"/>
    </xf>
    <xf numFmtId="0" fontId="12" fillId="0" borderId="22" xfId="0" applyFont="1" applyFill="1" applyBorder="1" applyAlignment="1">
      <alignment vertical="center"/>
    </xf>
    <xf numFmtId="169" fontId="12" fillId="0" borderId="21" xfId="0" applyNumberFormat="1" applyFont="1" applyFill="1" applyBorder="1" applyAlignment="1">
      <alignment horizontal="center" vertical="center"/>
    </xf>
    <xf numFmtId="169" fontId="12" fillId="0" borderId="24" xfId="0" applyNumberFormat="1" applyFont="1" applyFill="1" applyBorder="1" applyAlignment="1">
      <alignment horizontal="center" vertical="center"/>
    </xf>
    <xf numFmtId="169" fontId="7" fillId="0" borderId="21" xfId="0" applyNumberFormat="1" applyFont="1" applyFill="1" applyBorder="1" applyAlignment="1">
      <alignment horizontal="center" vertical="center"/>
    </xf>
    <xf numFmtId="0" fontId="12" fillId="0" borderId="0" xfId="0" applyNumberFormat="1" applyFont="1" applyFill="1" applyBorder="1" applyAlignment="1"/>
    <xf numFmtId="8" fontId="6" fillId="0" borderId="0" xfId="0" applyNumberFormat="1" applyFont="1" applyFill="1" applyBorder="1" applyAlignment="1">
      <alignment wrapText="1"/>
    </xf>
    <xf numFmtId="0" fontId="6" fillId="0" borderId="28" xfId="0" applyFont="1" applyFill="1" applyBorder="1" applyAlignment="1">
      <alignment wrapText="1"/>
    </xf>
    <xf numFmtId="4" fontId="6" fillId="0" borderId="28" xfId="0" applyNumberFormat="1" applyFont="1" applyFill="1" applyBorder="1" applyAlignment="1">
      <alignment wrapText="1"/>
    </xf>
    <xf numFmtId="172" fontId="6" fillId="4" borderId="28" xfId="0" applyNumberFormat="1" applyFont="1" applyFill="1" applyBorder="1" applyAlignment="1">
      <alignment wrapText="1"/>
    </xf>
    <xf numFmtId="4" fontId="6" fillId="4" borderId="28" xfId="0" applyNumberFormat="1" applyFont="1" applyFill="1" applyBorder="1" applyAlignment="1">
      <alignment vertical="top" wrapText="1"/>
    </xf>
    <xf numFmtId="0" fontId="6" fillId="4" borderId="28" xfId="0" applyFont="1" applyFill="1" applyBorder="1" applyAlignment="1">
      <alignment vertical="top" wrapText="1"/>
    </xf>
    <xf numFmtId="0" fontId="6" fillId="0" borderId="30" xfId="0" applyFont="1" applyFill="1" applyBorder="1" applyAlignment="1">
      <alignment wrapText="1"/>
    </xf>
    <xf numFmtId="4" fontId="6" fillId="0" borderId="30" xfId="0" applyNumberFormat="1" applyFont="1" applyFill="1" applyBorder="1" applyAlignment="1">
      <alignment wrapText="1"/>
    </xf>
    <xf numFmtId="172" fontId="6" fillId="4" borderId="30" xfId="0" applyNumberFormat="1" applyFont="1" applyFill="1" applyBorder="1" applyAlignment="1">
      <alignment wrapText="1"/>
    </xf>
    <xf numFmtId="4" fontId="6" fillId="4" borderId="30" xfId="0" applyNumberFormat="1" applyFont="1" applyFill="1" applyBorder="1" applyAlignment="1">
      <alignment vertical="top" wrapText="1"/>
    </xf>
    <xf numFmtId="0" fontId="6" fillId="4" borderId="30" xfId="0" applyFont="1" applyFill="1" applyBorder="1" applyAlignment="1">
      <alignment vertical="top" wrapText="1"/>
    </xf>
    <xf numFmtId="4" fontId="6" fillId="4" borderId="30" xfId="0" applyNumberFormat="1" applyFont="1" applyFill="1" applyBorder="1" applyAlignment="1">
      <alignment wrapText="1"/>
    </xf>
    <xf numFmtId="0" fontId="6" fillId="0" borderId="59" xfId="0" applyFont="1" applyFill="1" applyBorder="1" applyAlignment="1">
      <alignment wrapText="1"/>
    </xf>
    <xf numFmtId="4" fontId="6" fillId="0" borderId="59" xfId="0" applyNumberFormat="1" applyFont="1" applyFill="1" applyBorder="1" applyAlignment="1">
      <alignment wrapText="1"/>
    </xf>
    <xf numFmtId="172" fontId="6" fillId="4" borderId="59" xfId="0" applyNumberFormat="1" applyFont="1" applyFill="1" applyBorder="1" applyAlignment="1">
      <alignment wrapText="1"/>
    </xf>
    <xf numFmtId="4" fontId="6" fillId="4" borderId="59" xfId="0" applyNumberFormat="1" applyFont="1" applyFill="1" applyBorder="1" applyAlignment="1">
      <alignment vertical="top" wrapText="1"/>
    </xf>
    <xf numFmtId="0" fontId="6" fillId="4" borderId="59" xfId="0" applyFont="1" applyFill="1" applyBorder="1" applyAlignment="1">
      <alignment vertical="top" wrapText="1"/>
    </xf>
    <xf numFmtId="0" fontId="6" fillId="0" borderId="0" xfId="0" applyFont="1" applyFill="1"/>
    <xf numFmtId="0" fontId="12" fillId="0" borderId="0" xfId="0" applyFont="1" applyFill="1"/>
    <xf numFmtId="4" fontId="6" fillId="0" borderId="0" xfId="0" applyNumberFormat="1" applyFont="1"/>
    <xf numFmtId="0" fontId="6" fillId="0" borderId="49"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3" fontId="6" fillId="0" borderId="0" xfId="0" applyNumberFormat="1" applyFont="1" applyFill="1" applyBorder="1" applyAlignment="1">
      <alignment horizontal="center" vertical="center"/>
    </xf>
    <xf numFmtId="43" fontId="6" fillId="0" borderId="21" xfId="2" applyFont="1" applyFill="1" applyBorder="1" applyAlignment="1">
      <alignment horizontal="right"/>
    </xf>
    <xf numFmtId="43" fontId="6" fillId="0" borderId="21" xfId="2" applyFont="1" applyFill="1" applyBorder="1" applyAlignment="1">
      <alignment horizontal="right" vertical="center"/>
    </xf>
    <xf numFmtId="43" fontId="6" fillId="0" borderId="24" xfId="2" applyFont="1" applyFill="1" applyBorder="1" applyAlignment="1">
      <alignment horizontal="right" vertical="center"/>
    </xf>
    <xf numFmtId="43" fontId="6" fillId="0" borderId="7" xfId="2" applyFont="1" applyFill="1" applyBorder="1" applyAlignment="1">
      <alignment horizontal="right" vertical="center"/>
    </xf>
    <xf numFmtId="43" fontId="12" fillId="4" borderId="10" xfId="2" applyFont="1" applyFill="1" applyBorder="1" applyAlignment="1">
      <alignment vertical="center"/>
    </xf>
    <xf numFmtId="43" fontId="6" fillId="0" borderId="21" xfId="2" applyFont="1" applyFill="1" applyBorder="1" applyAlignment="1">
      <alignment vertical="center"/>
    </xf>
    <xf numFmtId="43" fontId="6" fillId="0" borderId="24" xfId="2" applyFont="1" applyFill="1" applyBorder="1" applyAlignment="1">
      <alignment vertical="center"/>
    </xf>
    <xf numFmtId="43" fontId="6" fillId="0" borderId="21" xfId="2" applyFont="1" applyFill="1" applyBorder="1" applyAlignment="1"/>
    <xf numFmtId="43" fontId="6" fillId="0" borderId="24" xfId="2" applyFont="1" applyFill="1" applyBorder="1" applyAlignment="1"/>
    <xf numFmtId="43" fontId="12" fillId="0" borderId="21" xfId="2" applyFont="1" applyFill="1" applyBorder="1" applyAlignment="1">
      <alignment horizontal="right" vertical="center"/>
    </xf>
    <xf numFmtId="43" fontId="12" fillId="0" borderId="24" xfId="2" applyFont="1" applyFill="1" applyBorder="1" applyAlignment="1">
      <alignment horizontal="right" vertical="center"/>
    </xf>
    <xf numFmtId="0" fontId="11" fillId="0" borderId="0" xfId="0" applyFont="1" applyFill="1" applyAlignment="1">
      <alignment vertical="center"/>
    </xf>
    <xf numFmtId="0" fontId="11" fillId="0" borderId="36" xfId="0" applyFont="1" applyFill="1" applyBorder="1" applyAlignment="1">
      <alignment vertical="center"/>
    </xf>
    <xf numFmtId="0" fontId="11" fillId="0" borderId="2" xfId="0" applyFont="1" applyFill="1" applyBorder="1" applyAlignment="1"/>
    <xf numFmtId="0" fontId="11" fillId="0" borderId="41" xfId="0" applyFont="1" applyFill="1" applyBorder="1" applyAlignment="1"/>
    <xf numFmtId="0" fontId="12" fillId="4" borderId="9" xfId="2" applyNumberFormat="1" applyFont="1" applyFill="1" applyBorder="1" applyAlignment="1">
      <alignment horizontal="center" vertical="center"/>
    </xf>
    <xf numFmtId="0" fontId="12" fillId="4" borderId="23" xfId="2" applyNumberFormat="1" applyFont="1" applyFill="1" applyBorder="1" applyAlignment="1">
      <alignment horizontal="center" vertical="center"/>
    </xf>
    <xf numFmtId="10" fontId="12" fillId="0" borderId="67" xfId="0" applyNumberFormat="1" applyFont="1" applyFill="1" applyBorder="1" applyAlignment="1">
      <alignment horizontal="right"/>
    </xf>
    <xf numFmtId="0" fontId="6" fillId="0" borderId="0" xfId="0" applyFont="1" applyFill="1" applyBorder="1" applyAlignment="1">
      <alignment horizontal="right"/>
    </xf>
    <xf numFmtId="43" fontId="12" fillId="4" borderId="44" xfId="2" applyFont="1" applyFill="1" applyBorder="1" applyAlignment="1">
      <alignment vertical="center"/>
    </xf>
    <xf numFmtId="43" fontId="12" fillId="4" borderId="26" xfId="2" applyFont="1" applyFill="1" applyBorder="1" applyAlignment="1">
      <alignment vertical="center"/>
    </xf>
    <xf numFmtId="43" fontId="6" fillId="0" borderId="83" xfId="2" applyFont="1" applyFill="1" applyBorder="1" applyAlignment="1">
      <alignment vertical="center"/>
    </xf>
    <xf numFmtId="43" fontId="6" fillId="0" borderId="82" xfId="2" applyFont="1" applyFill="1" applyBorder="1" applyAlignment="1">
      <alignment vertical="center"/>
    </xf>
    <xf numFmtId="43" fontId="6" fillId="0" borderId="62" xfId="2" applyFont="1" applyFill="1" applyBorder="1" applyAlignment="1">
      <alignment horizontal="right" vertical="center"/>
    </xf>
    <xf numFmtId="43" fontId="6" fillId="0" borderId="60" xfId="2" applyFont="1" applyFill="1" applyBorder="1" applyAlignment="1">
      <alignment horizontal="right" vertical="center"/>
    </xf>
    <xf numFmtId="43" fontId="6" fillId="0" borderId="84" xfId="2" applyFont="1" applyFill="1" applyBorder="1" applyAlignment="1">
      <alignment horizontal="right" vertical="center"/>
    </xf>
    <xf numFmtId="43" fontId="6" fillId="0" borderId="80" xfId="2" applyFont="1" applyFill="1" applyBorder="1" applyAlignment="1">
      <alignment horizontal="right" vertical="center"/>
    </xf>
    <xf numFmtId="0" fontId="6" fillId="0" borderId="0" xfId="0" applyNumberFormat="1" applyFont="1" applyFill="1" applyBorder="1" applyAlignment="1"/>
    <xf numFmtId="8" fontId="6" fillId="0" borderId="0" xfId="0" applyNumberFormat="1" applyFont="1" applyFill="1" applyBorder="1" applyAlignment="1">
      <alignment horizontal="right"/>
    </xf>
    <xf numFmtId="0" fontId="6" fillId="0" borderId="69" xfId="0" applyNumberFormat="1" applyFont="1" applyFill="1" applyBorder="1" applyAlignment="1"/>
    <xf numFmtId="4" fontId="6" fillId="0" borderId="70" xfId="0" applyNumberFormat="1" applyFont="1" applyFill="1" applyBorder="1" applyAlignment="1">
      <alignment vertical="top"/>
    </xf>
    <xf numFmtId="4" fontId="6" fillId="0" borderId="75" xfId="0" applyNumberFormat="1" applyFont="1" applyFill="1" applyBorder="1" applyAlignment="1">
      <alignment vertical="top"/>
    </xf>
    <xf numFmtId="0" fontId="6" fillId="0" borderId="73" xfId="0" applyNumberFormat="1" applyFont="1" applyFill="1" applyBorder="1" applyAlignment="1"/>
    <xf numFmtId="4" fontId="6" fillId="0" borderId="74" xfId="0" applyNumberFormat="1" applyFont="1" applyFill="1" applyBorder="1" applyAlignment="1"/>
    <xf numFmtId="4" fontId="6" fillId="0" borderId="74" xfId="0" applyNumberFormat="1" applyFont="1" applyFill="1" applyBorder="1" applyAlignment="1">
      <alignment vertical="top"/>
    </xf>
    <xf numFmtId="4" fontId="6" fillId="0" borderId="76" xfId="0" applyNumberFormat="1" applyFont="1" applyFill="1" applyBorder="1" applyAlignment="1">
      <alignment vertical="top"/>
    </xf>
    <xf numFmtId="0" fontId="6" fillId="0" borderId="86" xfId="0" applyNumberFormat="1" applyFont="1" applyFill="1" applyBorder="1" applyAlignment="1"/>
    <xf numFmtId="4" fontId="6" fillId="0" borderId="87" xfId="0" applyNumberFormat="1" applyFont="1" applyFill="1" applyBorder="1" applyAlignment="1"/>
    <xf numFmtId="4" fontId="6" fillId="0" borderId="87" xfId="0" applyNumberFormat="1" applyFont="1" applyFill="1" applyBorder="1" applyAlignment="1">
      <alignment vertical="top"/>
    </xf>
    <xf numFmtId="4" fontId="6" fillId="0" borderId="88" xfId="0" applyNumberFormat="1" applyFont="1" applyFill="1" applyBorder="1" applyAlignment="1">
      <alignment vertical="top"/>
    </xf>
    <xf numFmtId="0" fontId="32" fillId="0" borderId="0" xfId="0" applyNumberFormat="1" applyFont="1" applyFill="1" applyBorder="1" applyAlignment="1">
      <alignment vertical="center"/>
    </xf>
    <xf numFmtId="0" fontId="12" fillId="0" borderId="4" xfId="0" applyNumberFormat="1" applyFont="1" applyFill="1" applyBorder="1" applyAlignment="1">
      <alignment vertical="center"/>
    </xf>
    <xf numFmtId="0" fontId="12" fillId="0" borderId="4" xfId="0" applyNumberFormat="1" applyFont="1" applyFill="1" applyBorder="1" applyAlignment="1"/>
    <xf numFmtId="10" fontId="6" fillId="0" borderId="4" xfId="1" applyNumberFormat="1" applyFont="1" applyFill="1" applyBorder="1" applyAlignment="1">
      <alignment vertical="center"/>
    </xf>
    <xf numFmtId="173" fontId="6" fillId="0" borderId="4" xfId="0" applyNumberFormat="1" applyFont="1" applyFill="1" applyBorder="1" applyAlignment="1">
      <alignment vertical="center"/>
    </xf>
    <xf numFmtId="0" fontId="6" fillId="4" borderId="4" xfId="0" applyNumberFormat="1" applyFont="1" applyFill="1" applyBorder="1" applyAlignment="1">
      <alignment vertical="center"/>
    </xf>
    <xf numFmtId="0" fontId="6" fillId="4" borderId="4" xfId="0" applyNumberFormat="1" applyFont="1" applyFill="1" applyBorder="1" applyAlignment="1">
      <alignment horizontal="center" vertical="center"/>
    </xf>
    <xf numFmtId="173" fontId="6" fillId="0" borderId="4" xfId="0" applyNumberFormat="1" applyFont="1" applyFill="1" applyBorder="1" applyAlignment="1">
      <alignment horizontal="center" vertical="center"/>
    </xf>
    <xf numFmtId="0" fontId="10" fillId="0" borderId="0" xfId="0" applyNumberFormat="1" applyFont="1" applyAlignment="1">
      <alignment vertical="center" wrapText="1"/>
    </xf>
    <xf numFmtId="0" fontId="10" fillId="0" borderId="0" xfId="0" applyNumberFormat="1" applyFont="1" applyAlignment="1">
      <alignment wrapText="1"/>
    </xf>
    <xf numFmtId="43" fontId="5" fillId="0" borderId="0" xfId="2" applyFont="1"/>
    <xf numFmtId="3" fontId="28" fillId="0" borderId="0" xfId="0" applyNumberFormat="1" applyFont="1" applyBorder="1" applyAlignment="1">
      <alignment wrapText="1"/>
    </xf>
    <xf numFmtId="174" fontId="1" fillId="4" borderId="28" xfId="1" applyNumberFormat="1" applyFont="1" applyFill="1" applyBorder="1" applyAlignment="1">
      <alignment horizontal="center" vertical="center" wrapText="1"/>
    </xf>
    <xf numFmtId="169" fontId="1" fillId="4" borderId="63" xfId="2" applyNumberFormat="1" applyFont="1" applyFill="1" applyBorder="1" applyAlignment="1">
      <alignment horizontal="center" wrapText="1"/>
    </xf>
    <xf numFmtId="169" fontId="1" fillId="4" borderId="27" xfId="2" applyNumberFormat="1" applyFont="1" applyFill="1" applyBorder="1" applyAlignment="1">
      <alignment horizontal="center" wrapText="1"/>
    </xf>
    <xf numFmtId="169" fontId="1" fillId="4" borderId="47" xfId="2" applyNumberFormat="1" applyFont="1" applyFill="1" applyBorder="1" applyAlignment="1">
      <alignment horizontal="center" wrapText="1"/>
    </xf>
    <xf numFmtId="43" fontId="1" fillId="4" borderId="65" xfId="2" applyFont="1" applyFill="1" applyBorder="1" applyAlignment="1">
      <alignment wrapText="1"/>
    </xf>
    <xf numFmtId="43" fontId="1" fillId="4" borderId="29" xfId="2" applyFont="1" applyFill="1" applyBorder="1" applyAlignment="1">
      <alignment wrapText="1"/>
    </xf>
    <xf numFmtId="43" fontId="1" fillId="4" borderId="66" xfId="2" applyFont="1" applyFill="1" applyBorder="1" applyAlignment="1">
      <alignment wrapText="1"/>
    </xf>
    <xf numFmtId="174" fontId="1" fillId="4" borderId="30" xfId="1" applyNumberFormat="1" applyFont="1" applyFill="1" applyBorder="1" applyAlignment="1">
      <alignment horizontal="center" vertical="center" wrapText="1"/>
    </xf>
    <xf numFmtId="174" fontId="1" fillId="4" borderId="59" xfId="1" applyNumberFormat="1" applyFont="1" applyFill="1" applyBorder="1" applyAlignment="1">
      <alignment horizontal="center" vertical="center" wrapText="1"/>
    </xf>
    <xf numFmtId="44" fontId="1" fillId="0" borderId="0" xfId="2" applyNumberFormat="1"/>
    <xf numFmtId="44" fontId="0" fillId="0" borderId="0" xfId="2" applyNumberFormat="1" applyFont="1"/>
    <xf numFmtId="0" fontId="7" fillId="0" borderId="22" xfId="0" applyFont="1" applyBorder="1" applyAlignment="1">
      <alignment horizontal="center"/>
    </xf>
    <xf numFmtId="0" fontId="12" fillId="4" borderId="9" xfId="0" applyNumberFormat="1" applyFont="1" applyFill="1" applyBorder="1" applyAlignment="1">
      <alignment horizontal="center" vertical="center"/>
    </xf>
    <xf numFmtId="0" fontId="12" fillId="4" borderId="10" xfId="0" applyNumberFormat="1" applyFont="1" applyFill="1" applyBorder="1" applyAlignment="1">
      <alignment horizontal="center" vertical="center"/>
    </xf>
    <xf numFmtId="0" fontId="9" fillId="0" borderId="0" xfId="0" applyFont="1" applyAlignment="1">
      <alignment horizontal="left"/>
    </xf>
    <xf numFmtId="3" fontId="18" fillId="0" borderId="6" xfId="0" applyNumberFormat="1" applyFont="1" applyBorder="1" applyAlignment="1">
      <alignment horizontal="center"/>
    </xf>
    <xf numFmtId="38" fontId="12" fillId="0" borderId="10" xfId="2" applyNumberFormat="1" applyFont="1" applyFill="1" applyBorder="1"/>
    <xf numFmtId="38" fontId="12" fillId="8" borderId="28" xfId="2" applyNumberFormat="1" applyFont="1" applyFill="1" applyBorder="1" applyAlignment="1">
      <alignment horizontal="center" vertical="center"/>
    </xf>
    <xf numFmtId="169" fontId="12" fillId="0" borderId="10" xfId="0" applyNumberFormat="1" applyFont="1" applyFill="1" applyBorder="1" applyAlignment="1">
      <alignment horizontal="center" vertical="center"/>
    </xf>
    <xf numFmtId="4" fontId="5" fillId="0" borderId="0" xfId="0" applyNumberFormat="1" applyFont="1"/>
    <xf numFmtId="174" fontId="1" fillId="4" borderId="4" xfId="1" applyNumberFormat="1" applyFont="1" applyFill="1" applyBorder="1" applyAlignment="1">
      <alignment horizontal="center" vertical="center" wrapText="1"/>
    </xf>
    <xf numFmtId="174" fontId="1" fillId="4" borderId="10" xfId="1" applyNumberFormat="1" applyFont="1" applyFill="1" applyBorder="1" applyAlignment="1">
      <alignment horizontal="center" vertical="center" wrapText="1"/>
    </xf>
    <xf numFmtId="0" fontId="6" fillId="0" borderId="81" xfId="0" applyFont="1" applyFill="1" applyBorder="1" applyAlignment="1">
      <alignment vertical="center"/>
    </xf>
    <xf numFmtId="0" fontId="6" fillId="0" borderId="66" xfId="0" applyFont="1" applyFill="1" applyBorder="1" applyAlignment="1">
      <alignment vertical="center"/>
    </xf>
    <xf numFmtId="0" fontId="1" fillId="0" borderId="0" xfId="4" applyFont="1"/>
    <xf numFmtId="0" fontId="7" fillId="0" borderId="24" xfId="0" applyFont="1" applyBorder="1" applyAlignment="1">
      <alignment horizontal="center"/>
    </xf>
    <xf numFmtId="0" fontId="7" fillId="0" borderId="25" xfId="0" applyFont="1" applyBorder="1" applyAlignment="1">
      <alignment horizontal="center"/>
    </xf>
    <xf numFmtId="0" fontId="7" fillId="0" borderId="22" xfId="0" applyFont="1" applyBorder="1" applyAlignment="1">
      <alignment horizontal="center"/>
    </xf>
    <xf numFmtId="49" fontId="7" fillId="2" borderId="18" xfId="0" applyNumberFormat="1" applyFont="1" applyFill="1" applyBorder="1" applyAlignment="1">
      <alignment horizontal="left"/>
    </xf>
    <xf numFmtId="49" fontId="7" fillId="2" borderId="11" xfId="0" applyNumberFormat="1" applyFont="1" applyFill="1" applyBorder="1" applyAlignment="1">
      <alignment horizontal="left"/>
    </xf>
    <xf numFmtId="0" fontId="24" fillId="2" borderId="18" xfId="0" applyFont="1" applyFill="1" applyBorder="1" applyAlignment="1">
      <alignment horizontal="left"/>
    </xf>
    <xf numFmtId="0" fontId="24" fillId="2" borderId="11" xfId="0" applyFont="1" applyFill="1" applyBorder="1" applyAlignment="1">
      <alignment horizontal="left"/>
    </xf>
    <xf numFmtId="0" fontId="7" fillId="2" borderId="16" xfId="0" applyFont="1" applyFill="1" applyBorder="1" applyAlignment="1">
      <alignment horizontal="left"/>
    </xf>
    <xf numFmtId="0" fontId="7" fillId="2" borderId="19" xfId="0" applyFont="1" applyFill="1" applyBorder="1" applyAlignment="1">
      <alignment horizontal="left"/>
    </xf>
    <xf numFmtId="0" fontId="7" fillId="2" borderId="20" xfId="0" applyFont="1" applyFill="1" applyBorder="1" applyAlignment="1">
      <alignment horizontal="left"/>
    </xf>
    <xf numFmtId="0" fontId="7" fillId="2" borderId="5" xfId="0" applyFont="1" applyFill="1" applyBorder="1" applyAlignment="1">
      <alignment horizontal="left"/>
    </xf>
    <xf numFmtId="0" fontId="5" fillId="0" borderId="0" xfId="0" applyFont="1" applyAlignment="1">
      <alignment horizontal="center"/>
    </xf>
    <xf numFmtId="0" fontId="9" fillId="0" borderId="0" xfId="0" applyFont="1" applyAlignment="1">
      <alignment horizontal="center"/>
    </xf>
    <xf numFmtId="10" fontId="23" fillId="2" borderId="6" xfId="0" applyNumberFormat="1" applyFont="1" applyFill="1" applyBorder="1" applyAlignment="1">
      <alignment horizontal="right"/>
    </xf>
    <xf numFmtId="10" fontId="23" fillId="2" borderId="5" xfId="0" applyNumberFormat="1" applyFont="1" applyFill="1" applyBorder="1" applyAlignment="1">
      <alignment horizontal="right"/>
    </xf>
    <xf numFmtId="3" fontId="28" fillId="0" borderId="0" xfId="0" applyNumberFormat="1" applyFont="1" applyBorder="1" applyAlignment="1">
      <alignment horizontal="center" wrapText="1"/>
    </xf>
    <xf numFmtId="0" fontId="5" fillId="0" borderId="0" xfId="0" applyFont="1" applyFill="1" applyBorder="1" applyAlignment="1">
      <alignment horizontal="left" wrapText="1"/>
    </xf>
    <xf numFmtId="0" fontId="5" fillId="0" borderId="0" xfId="0" applyFont="1" applyAlignment="1">
      <alignment horizontal="left" wrapText="1"/>
    </xf>
    <xf numFmtId="0" fontId="11" fillId="0" borderId="0" xfId="0" applyFont="1" applyAlignment="1">
      <alignment horizontal="center"/>
    </xf>
    <xf numFmtId="3" fontId="11" fillId="0" borderId="0" xfId="0" applyNumberFormat="1" applyFont="1" applyAlignment="1">
      <alignment horizontal="center"/>
    </xf>
    <xf numFmtId="0" fontId="9" fillId="0" borderId="1" xfId="0" applyFont="1" applyFill="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13" fillId="0" borderId="0" xfId="0" applyFont="1" applyAlignment="1">
      <alignment horizontal="right"/>
    </xf>
    <xf numFmtId="3" fontId="9" fillId="0" borderId="40" xfId="0" applyNumberFormat="1" applyFont="1" applyFill="1" applyBorder="1" applyAlignment="1">
      <alignment horizontal="center"/>
    </xf>
    <xf numFmtId="0" fontId="9" fillId="0" borderId="41" xfId="0" applyFont="1" applyFill="1" applyBorder="1" applyAlignment="1">
      <alignment horizontal="center"/>
    </xf>
    <xf numFmtId="0" fontId="9" fillId="0" borderId="42" xfId="0" applyFont="1" applyFill="1" applyBorder="1" applyAlignment="1">
      <alignment horizontal="center"/>
    </xf>
    <xf numFmtId="0" fontId="3" fillId="0" borderId="0" xfId="0" applyFont="1" applyFill="1" applyBorder="1" applyAlignment="1">
      <alignment horizontal="center"/>
    </xf>
    <xf numFmtId="0" fontId="1" fillId="0" borderId="58" xfId="0" applyFont="1" applyFill="1" applyBorder="1" applyAlignment="1">
      <alignment wrapText="1"/>
    </xf>
    <xf numFmtId="8" fontId="32" fillId="0" borderId="58" xfId="0" applyNumberFormat="1" applyFont="1" applyFill="1" applyBorder="1" applyAlignment="1">
      <alignment horizontal="right" wrapText="1"/>
    </xf>
    <xf numFmtId="0" fontId="32" fillId="0" borderId="58" xfId="0" applyFont="1" applyFill="1" applyBorder="1" applyAlignment="1">
      <alignment horizontal="right" wrapText="1"/>
    </xf>
    <xf numFmtId="0" fontId="7" fillId="0" borderId="22" xfId="0" applyFont="1" applyFill="1" applyBorder="1" applyAlignment="1">
      <alignment horizontal="center" vertical="center" wrapText="1"/>
    </xf>
    <xf numFmtId="1" fontId="7" fillId="0" borderId="21" xfId="0" applyNumberFormat="1" applyFont="1" applyFill="1" applyBorder="1" applyAlignment="1">
      <alignment horizontal="center" vertical="center" wrapText="1"/>
    </xf>
    <xf numFmtId="1" fontId="7" fillId="0" borderId="24"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1" fillId="0" borderId="31" xfId="0" applyFont="1" applyFill="1" applyBorder="1" applyAlignment="1">
      <alignment horizontal="left"/>
    </xf>
    <xf numFmtId="0" fontId="11" fillId="0" borderId="0" xfId="0" applyFont="1" applyFill="1" applyBorder="1" applyAlignment="1">
      <alignment horizontal="left"/>
    </xf>
    <xf numFmtId="0" fontId="32" fillId="0" borderId="35" xfId="0" applyFont="1" applyFill="1" applyBorder="1" applyAlignment="1">
      <alignment horizontal="center" vertical="center"/>
    </xf>
    <xf numFmtId="0" fontId="32" fillId="4" borderId="60" xfId="0" applyFont="1" applyFill="1" applyBorder="1" applyAlignment="1">
      <alignment horizontal="center" vertical="center"/>
    </xf>
    <xf numFmtId="0" fontId="32" fillId="4" borderId="61" xfId="0" applyFont="1" applyFill="1" applyBorder="1" applyAlignment="1">
      <alignment horizontal="center" vertical="center"/>
    </xf>
    <xf numFmtId="0" fontId="32" fillId="4" borderId="62" xfId="0" applyFont="1" applyFill="1" applyBorder="1" applyAlignment="1">
      <alignment horizontal="center" vertical="center"/>
    </xf>
    <xf numFmtId="0" fontId="32" fillId="4" borderId="24" xfId="0" applyFont="1" applyFill="1" applyBorder="1" applyAlignment="1">
      <alignment horizontal="center" vertical="center"/>
    </xf>
    <xf numFmtId="0" fontId="32" fillId="4" borderId="22" xfId="0" applyFont="1" applyFill="1" applyBorder="1" applyAlignment="1">
      <alignment horizontal="center" vertical="center"/>
    </xf>
    <xf numFmtId="0" fontId="12" fillId="0" borderId="47" xfId="0" applyFont="1" applyFill="1" applyBorder="1" applyAlignment="1">
      <alignment horizontal="left" vertical="center"/>
    </xf>
    <xf numFmtId="0" fontId="12" fillId="0" borderId="48" xfId="0" applyFont="1" applyFill="1" applyBorder="1" applyAlignment="1">
      <alignment horizontal="left" vertical="center"/>
    </xf>
    <xf numFmtId="0" fontId="12" fillId="0" borderId="66" xfId="0" applyFont="1" applyFill="1" applyBorder="1" applyAlignment="1">
      <alignment horizontal="left" vertical="center"/>
    </xf>
    <xf numFmtId="3" fontId="12" fillId="0" borderId="47" xfId="0" applyNumberFormat="1" applyFont="1" applyFill="1" applyBorder="1" applyAlignment="1">
      <alignment horizontal="center" vertical="center"/>
    </xf>
    <xf numFmtId="3" fontId="12" fillId="0" borderId="66" xfId="0" applyNumberFormat="1" applyFont="1" applyFill="1" applyBorder="1" applyAlignment="1">
      <alignment horizontal="center" vertical="center"/>
    </xf>
    <xf numFmtId="0" fontId="12" fillId="0" borderId="63" xfId="0" applyFont="1" applyFill="1" applyBorder="1" applyAlignment="1">
      <alignment horizontal="left" vertical="center"/>
    </xf>
    <xf numFmtId="0" fontId="12" fillId="0" borderId="64" xfId="0" applyFont="1" applyFill="1" applyBorder="1" applyAlignment="1">
      <alignment horizontal="left" vertical="center"/>
    </xf>
    <xf numFmtId="0" fontId="12" fillId="0" borderId="65" xfId="0" applyFont="1" applyFill="1" applyBorder="1" applyAlignment="1">
      <alignment horizontal="left" vertical="center"/>
    </xf>
    <xf numFmtId="170" fontId="12" fillId="0" borderId="63" xfId="0" applyNumberFormat="1" applyFont="1" applyFill="1" applyBorder="1" applyAlignment="1">
      <alignment horizontal="center" vertical="center"/>
    </xf>
    <xf numFmtId="170" fontId="12" fillId="0" borderId="65" xfId="0" applyNumberFormat="1" applyFont="1" applyFill="1" applyBorder="1" applyAlignment="1">
      <alignment horizontal="center" vertical="center"/>
    </xf>
    <xf numFmtId="170" fontId="32" fillId="0" borderId="63" xfId="0" applyNumberFormat="1" applyFont="1" applyFill="1" applyBorder="1" applyAlignment="1">
      <alignment horizontal="center" vertical="center"/>
    </xf>
    <xf numFmtId="170" fontId="32" fillId="0" borderId="65" xfId="0" applyNumberFormat="1" applyFont="1" applyFill="1" applyBorder="1" applyAlignment="1">
      <alignment horizontal="center" vertical="center"/>
    </xf>
    <xf numFmtId="0" fontId="32" fillId="0" borderId="63" xfId="0" applyFont="1" applyFill="1" applyBorder="1" applyAlignment="1">
      <alignment horizontal="center" vertical="center"/>
    </xf>
    <xf numFmtId="0" fontId="32" fillId="0" borderId="65" xfId="0" applyFont="1" applyFill="1" applyBorder="1" applyAlignment="1">
      <alignment horizontal="center" vertical="center"/>
    </xf>
    <xf numFmtId="0" fontId="12" fillId="0" borderId="2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29" xfId="0" applyFont="1" applyFill="1" applyBorder="1" applyAlignment="1">
      <alignment horizontal="left" vertical="center"/>
    </xf>
    <xf numFmtId="170" fontId="12" fillId="0" borderId="27" xfId="0" applyNumberFormat="1" applyFont="1" applyFill="1" applyBorder="1" applyAlignment="1">
      <alignment horizontal="center" vertical="center"/>
    </xf>
    <xf numFmtId="170" fontId="12" fillId="0" borderId="29" xfId="0" applyNumberFormat="1" applyFont="1" applyFill="1" applyBorder="1" applyAlignment="1">
      <alignment horizontal="center" vertical="center"/>
    </xf>
    <xf numFmtId="0" fontId="32" fillId="0" borderId="27" xfId="0" applyFont="1" applyFill="1" applyBorder="1" applyAlignment="1">
      <alignment horizontal="center" vertical="center"/>
    </xf>
    <xf numFmtId="0" fontId="32" fillId="0" borderId="29" xfId="0" applyFont="1" applyFill="1" applyBorder="1" applyAlignment="1">
      <alignment horizontal="center" vertical="center"/>
    </xf>
    <xf numFmtId="0" fontId="10" fillId="0" borderId="0" xfId="0" applyNumberFormat="1" applyFont="1" applyAlignment="1">
      <alignment horizontal="left" vertical="center" wrapText="1"/>
    </xf>
    <xf numFmtId="0" fontId="33" fillId="4" borderId="68" xfId="0" applyNumberFormat="1" applyFont="1" applyFill="1" applyBorder="1" applyAlignment="1">
      <alignment horizontal="center" vertical="center"/>
    </xf>
    <xf numFmtId="0" fontId="33" fillId="4" borderId="39" xfId="0" applyNumberFormat="1" applyFont="1" applyFill="1" applyBorder="1" applyAlignment="1">
      <alignment horizontal="center" vertical="center"/>
    </xf>
    <xf numFmtId="0" fontId="10" fillId="0" borderId="0" xfId="0" applyNumberFormat="1" applyFont="1" applyAlignment="1">
      <alignment horizontal="left" wrapText="1"/>
    </xf>
    <xf numFmtId="1" fontId="12" fillId="0" borderId="0" xfId="0" applyNumberFormat="1" applyFont="1" applyFill="1" applyBorder="1" applyAlignment="1">
      <alignment horizontal="center" vertical="center" wrapText="1"/>
    </xf>
    <xf numFmtId="0" fontId="0" fillId="0" borderId="0" xfId="0"/>
    <xf numFmtId="0" fontId="0" fillId="0" borderId="67" xfId="0" applyBorder="1"/>
    <xf numFmtId="0" fontId="11" fillId="0" borderId="0" xfId="0" applyFont="1" applyFill="1" applyAlignment="1">
      <alignment horizontal="center" vertical="center" wrapText="1"/>
    </xf>
    <xf numFmtId="0" fontId="11" fillId="0" borderId="36" xfId="0" applyFont="1" applyFill="1" applyBorder="1" applyAlignment="1">
      <alignment horizontal="center" vertical="center" wrapText="1"/>
    </xf>
    <xf numFmtId="0" fontId="11" fillId="0" borderId="1" xfId="0" applyFont="1" applyFill="1" applyBorder="1" applyAlignment="1">
      <alignment horizontal="center" wrapText="1"/>
    </xf>
    <xf numFmtId="0" fontId="11" fillId="0" borderId="2" xfId="0" applyFont="1" applyFill="1" applyBorder="1" applyAlignment="1">
      <alignment horizontal="center" wrapText="1"/>
    </xf>
    <xf numFmtId="0" fontId="12" fillId="4" borderId="23" xfId="0" applyNumberFormat="1" applyFont="1" applyFill="1" applyBorder="1" applyAlignment="1">
      <alignment horizontal="center" vertical="center"/>
    </xf>
    <xf numFmtId="0" fontId="12" fillId="4" borderId="34" xfId="0" applyNumberFormat="1" applyFont="1" applyFill="1" applyBorder="1" applyAlignment="1">
      <alignment horizontal="center" vertical="center"/>
    </xf>
    <xf numFmtId="0" fontId="12" fillId="0" borderId="41" xfId="0" applyFont="1" applyFill="1" applyBorder="1" applyAlignment="1">
      <alignment horizontal="center" vertical="center" wrapText="1"/>
    </xf>
    <xf numFmtId="0" fontId="0" fillId="0" borderId="41" xfId="0" applyBorder="1"/>
    <xf numFmtId="0" fontId="0" fillId="0" borderId="42" xfId="0" applyBorder="1"/>
    <xf numFmtId="0" fontId="9" fillId="0" borderId="0" xfId="0" applyFont="1" applyAlignment="1" applyProtection="1">
      <alignment horizontal="center"/>
      <protection locked="0"/>
    </xf>
    <xf numFmtId="0" fontId="5" fillId="0" borderId="0" xfId="0" applyNumberFormat="1" applyFont="1" applyFill="1" applyBorder="1" applyAlignment="1">
      <alignment horizontal="left" vertical="top" wrapText="1"/>
    </xf>
    <xf numFmtId="0" fontId="12" fillId="0" borderId="0" xfId="0" applyFont="1" applyAlignment="1" applyProtection="1">
      <alignment horizontal="center" vertical="center"/>
      <protection locked="0"/>
    </xf>
    <xf numFmtId="0" fontId="11" fillId="0" borderId="43" xfId="0"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Alignment="1">
      <alignment horizontal="center"/>
    </xf>
    <xf numFmtId="3" fontId="11" fillId="0" borderId="0" xfId="0" applyNumberFormat="1" applyFont="1" applyFill="1" applyBorder="1" applyAlignment="1">
      <alignment horizontal="center"/>
    </xf>
    <xf numFmtId="0" fontId="10" fillId="0" borderId="31" xfId="0" applyFont="1" applyFill="1" applyBorder="1" applyAlignment="1">
      <alignment horizontal="left"/>
    </xf>
    <xf numFmtId="0" fontId="12" fillId="0" borderId="69" xfId="0" applyFont="1" applyFill="1" applyBorder="1" applyAlignment="1">
      <alignment horizontal="center" vertical="center" wrapText="1"/>
    </xf>
    <xf numFmtId="0" fontId="12" fillId="0" borderId="73"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74" xfId="0" applyFont="1" applyFill="1" applyBorder="1" applyAlignment="1">
      <alignment horizontal="center" vertical="center" wrapText="1"/>
    </xf>
    <xf numFmtId="0" fontId="6" fillId="0" borderId="77" xfId="0" applyFont="1" applyFill="1" applyBorder="1" applyAlignment="1">
      <alignment horizontal="left" vertical="center"/>
    </xf>
    <xf numFmtId="0" fontId="6" fillId="0" borderId="78" xfId="0" applyFont="1" applyFill="1" applyBorder="1" applyAlignment="1">
      <alignment horizontal="left" vertical="center"/>
    </xf>
    <xf numFmtId="0" fontId="6" fillId="0" borderId="79" xfId="0" applyFont="1" applyFill="1" applyBorder="1" applyAlignment="1">
      <alignment horizontal="left" vertical="center"/>
    </xf>
    <xf numFmtId="3" fontId="6" fillId="0" borderId="80" xfId="0" applyNumberFormat="1" applyFont="1" applyFill="1" applyBorder="1" applyAlignment="1">
      <alignment horizontal="center" vertical="center"/>
    </xf>
    <xf numFmtId="3" fontId="6" fillId="0" borderId="79" xfId="0" applyNumberFormat="1" applyFont="1" applyFill="1" applyBorder="1" applyAlignment="1">
      <alignment horizontal="center" vertical="center"/>
    </xf>
    <xf numFmtId="3" fontId="6" fillId="0" borderId="82" xfId="0" applyNumberFormat="1" applyFont="1" applyFill="1" applyBorder="1" applyAlignment="1">
      <alignment horizontal="center" vertical="center"/>
    </xf>
    <xf numFmtId="3" fontId="6" fillId="0" borderId="81" xfId="0" applyNumberFormat="1" applyFont="1" applyFill="1" applyBorder="1" applyAlignment="1">
      <alignment horizontal="center" vertical="center"/>
    </xf>
    <xf numFmtId="0" fontId="12" fillId="0" borderId="71"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6" fillId="0" borderId="0" xfId="0" applyFont="1" applyFill="1" applyBorder="1" applyAlignment="1">
      <alignment horizontal="left"/>
    </xf>
    <xf numFmtId="0" fontId="12" fillId="4" borderId="22"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24"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13"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16" xfId="0" applyNumberFormat="1" applyFont="1" applyFill="1" applyBorder="1" applyAlignment="1">
      <alignment horizontal="center"/>
    </xf>
    <xf numFmtId="0" fontId="5" fillId="0" borderId="6" xfId="0" applyFont="1" applyFill="1" applyBorder="1" applyAlignment="1">
      <alignment horizontal="left" vertical="top" wrapText="1"/>
    </xf>
    <xf numFmtId="0" fontId="5" fillId="0" borderId="6" xfId="0" applyFont="1" applyFill="1" applyBorder="1" applyAlignment="1"/>
    <xf numFmtId="0" fontId="9" fillId="0" borderId="0" xfId="0" applyNumberFormat="1" applyFont="1" applyFill="1" applyAlignment="1">
      <alignment horizontal="center"/>
    </xf>
    <xf numFmtId="0" fontId="9" fillId="0" borderId="43" xfId="0" applyFont="1" applyFill="1" applyBorder="1" applyAlignment="1">
      <alignment horizontal="center"/>
    </xf>
    <xf numFmtId="0" fontId="9" fillId="0" borderId="0" xfId="0" applyFont="1" applyFill="1" applyBorder="1" applyAlignment="1">
      <alignment horizontal="center"/>
    </xf>
    <xf numFmtId="3" fontId="9" fillId="0" borderId="0" xfId="0" applyNumberFormat="1" applyFont="1" applyFill="1" applyBorder="1" applyAlignment="1">
      <alignment horizontal="center"/>
    </xf>
    <xf numFmtId="0" fontId="6" fillId="0" borderId="0" xfId="0" applyFont="1" applyFill="1" applyBorder="1" applyAlignment="1">
      <alignment horizontal="left" vertical="top" wrapText="1"/>
    </xf>
    <xf numFmtId="0" fontId="6" fillId="0" borderId="0" xfId="0" applyFont="1" applyFill="1" applyBorder="1" applyAlignment="1"/>
    <xf numFmtId="0" fontId="12" fillId="0" borderId="85" xfId="0" applyNumberFormat="1" applyFont="1" applyFill="1" applyBorder="1" applyAlignment="1">
      <alignment horizontal="center" vertical="center"/>
    </xf>
    <xf numFmtId="0" fontId="12" fillId="0" borderId="71" xfId="0" applyNumberFormat="1" applyFont="1" applyFill="1" applyBorder="1" applyAlignment="1">
      <alignment horizontal="center"/>
    </xf>
    <xf numFmtId="0" fontId="12" fillId="0" borderId="72" xfId="0" applyNumberFormat="1" applyFont="1" applyFill="1" applyBorder="1" applyAlignment="1">
      <alignment horizontal="center"/>
    </xf>
    <xf numFmtId="0" fontId="12" fillId="0" borderId="71" xfId="0" applyNumberFormat="1" applyFont="1" applyFill="1" applyBorder="1" applyAlignment="1">
      <alignment horizontal="center" vertical="center"/>
    </xf>
    <xf numFmtId="0" fontId="12" fillId="0" borderId="70" xfId="0" applyNumberFormat="1" applyFont="1" applyFill="1" applyBorder="1" applyAlignment="1">
      <alignment horizontal="center" vertical="center"/>
    </xf>
    <xf numFmtId="0" fontId="12" fillId="0" borderId="72" xfId="0" applyNumberFormat="1" applyFont="1" applyFill="1" applyBorder="1" applyAlignment="1">
      <alignment horizontal="center" vertical="center"/>
    </xf>
    <xf numFmtId="0" fontId="12" fillId="0" borderId="75" xfId="0" applyNumberFormat="1" applyFont="1" applyFill="1" applyBorder="1" applyAlignment="1">
      <alignment horizontal="center" vertical="center"/>
    </xf>
    <xf numFmtId="0" fontId="32" fillId="0" borderId="0" xfId="0" applyNumberFormat="1" applyFont="1" applyFill="1" applyBorder="1" applyAlignment="1">
      <alignment horizontal="center" vertical="center"/>
    </xf>
    <xf numFmtId="0" fontId="12" fillId="0" borderId="13" xfId="0" applyNumberFormat="1" applyFont="1" applyFill="1" applyBorder="1" applyAlignment="1">
      <alignment horizontal="center" vertical="center"/>
    </xf>
    <xf numFmtId="0" fontId="12" fillId="0" borderId="8" xfId="0" applyNumberFormat="1" applyFont="1" applyFill="1" applyBorder="1" applyAlignment="1">
      <alignment horizontal="center" vertical="center"/>
    </xf>
    <xf numFmtId="0" fontId="12" fillId="0" borderId="14" xfId="0" applyNumberFormat="1" applyFont="1" applyFill="1" applyBorder="1" applyAlignment="1">
      <alignment horizontal="center" vertical="center"/>
    </xf>
    <xf numFmtId="0" fontId="12" fillId="0" borderId="13" xfId="0" applyNumberFormat="1" applyFont="1" applyFill="1" applyBorder="1" applyAlignment="1">
      <alignment horizontal="justify" vertical="justify"/>
    </xf>
    <xf numFmtId="0" fontId="12" fillId="0" borderId="14" xfId="0" applyNumberFormat="1" applyFont="1" applyFill="1" applyBorder="1" applyAlignment="1">
      <alignment horizontal="justify" vertical="justify"/>
    </xf>
    <xf numFmtId="0" fontId="1" fillId="0" borderId="0" xfId="2" applyNumberFormat="1" applyFont="1" applyAlignment="1">
      <alignment horizontal="left" wrapText="1"/>
    </xf>
    <xf numFmtId="0" fontId="8" fillId="0" borderId="0" xfId="2" applyNumberFormat="1" applyFont="1" applyAlignment="1">
      <alignment horizontal="left" wrapText="1"/>
    </xf>
    <xf numFmtId="0" fontId="5" fillId="0" borderId="0" xfId="0" applyFont="1" applyFill="1" applyBorder="1" applyAlignment="1">
      <alignment horizontal="left"/>
    </xf>
    <xf numFmtId="3" fontId="5" fillId="0" borderId="15" xfId="0" applyNumberFormat="1" applyFont="1" applyFill="1" applyBorder="1" applyAlignment="1">
      <alignment horizontal="center" vertical="center"/>
    </xf>
    <xf numFmtId="0" fontId="5" fillId="0" borderId="7" xfId="0" applyFont="1" applyBorder="1" applyAlignment="1"/>
    <xf numFmtId="0" fontId="5" fillId="0" borderId="15" xfId="0" applyFont="1" applyFill="1" applyBorder="1" applyAlignment="1">
      <alignment horizontal="center" vertical="center"/>
    </xf>
    <xf numFmtId="0" fontId="5" fillId="0" borderId="37" xfId="0" applyFont="1" applyFill="1" applyBorder="1" applyAlignment="1">
      <alignment wrapText="1"/>
    </xf>
    <xf numFmtId="0" fontId="5" fillId="0" borderId="38" xfId="0" applyFont="1" applyFill="1" applyBorder="1" applyAlignment="1">
      <alignment wrapText="1"/>
    </xf>
    <xf numFmtId="0" fontId="5" fillId="0" borderId="19" xfId="0" applyFont="1" applyFill="1" applyBorder="1" applyAlignment="1">
      <alignment horizontal="center" vertical="center"/>
    </xf>
    <xf numFmtId="0" fontId="5" fillId="0" borderId="5" xfId="0" applyFont="1" applyBorder="1" applyAlignment="1"/>
    <xf numFmtId="0" fontId="5" fillId="0" borderId="16" xfId="0" applyFont="1" applyFill="1" applyBorder="1" applyAlignment="1">
      <alignment horizontal="center" vertical="center"/>
    </xf>
    <xf numFmtId="0" fontId="5" fillId="0" borderId="20" xfId="0" applyFont="1" applyBorder="1" applyAlignment="1"/>
    <xf numFmtId="3" fontId="9" fillId="0" borderId="43" xfId="0" applyNumberFormat="1" applyFont="1" applyFill="1" applyBorder="1" applyAlignment="1">
      <alignment horizontal="center"/>
    </xf>
    <xf numFmtId="0" fontId="1" fillId="0" borderId="0" xfId="0" applyFont="1" applyAlignment="1">
      <alignment horizontal="left" wrapText="1"/>
    </xf>
    <xf numFmtId="0" fontId="8" fillId="0" borderId="0" xfId="0" applyFont="1" applyAlignment="1">
      <alignment horizontal="left" wrapText="1"/>
    </xf>
    <xf numFmtId="0" fontId="9" fillId="0" borderId="19"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7" xfId="0" applyFont="1" applyBorder="1" applyAlignment="1"/>
    <xf numFmtId="0" fontId="9" fillId="0" borderId="19" xfId="0" applyFont="1" applyFill="1" applyBorder="1" applyAlignment="1">
      <alignment horizontal="center" vertical="center"/>
    </xf>
    <xf numFmtId="0" fontId="9" fillId="0" borderId="5" xfId="0" applyFont="1" applyBorder="1" applyAlignment="1"/>
    <xf numFmtId="0" fontId="5" fillId="0" borderId="8" xfId="0" applyFont="1" applyFill="1" applyBorder="1" applyAlignment="1">
      <alignment vertical="top" wrapText="1"/>
    </xf>
    <xf numFmtId="0" fontId="10"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0" xfId="0" applyFont="1" applyFill="1" applyBorder="1" applyAlignment="1">
      <alignment horizontal="center"/>
    </xf>
    <xf numFmtId="3" fontId="10" fillId="0" borderId="0" xfId="0" applyNumberFormat="1" applyFont="1" applyFill="1" applyBorder="1" applyAlignment="1">
      <alignment horizontal="center"/>
    </xf>
    <xf numFmtId="0" fontId="10" fillId="0" borderId="8" xfId="0" applyFont="1" applyFill="1" applyBorder="1" applyAlignment="1">
      <alignment wrapText="1"/>
    </xf>
    <xf numFmtId="0" fontId="10" fillId="0" borderId="14" xfId="0" applyFont="1" applyFill="1" applyBorder="1" applyAlignment="1">
      <alignment wrapText="1"/>
    </xf>
    <xf numFmtId="0" fontId="10" fillId="0" borderId="1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3" fillId="0" borderId="0" xfId="0" applyFont="1" applyFill="1" applyBorder="1" applyAlignment="1">
      <alignment horizontal="left"/>
    </xf>
    <xf numFmtId="0" fontId="5" fillId="0" borderId="8" xfId="0" applyFont="1" applyFill="1" applyBorder="1" applyAlignment="1">
      <alignment horizontal="left"/>
    </xf>
    <xf numFmtId="0" fontId="9" fillId="0" borderId="31" xfId="0" applyFont="1" applyFill="1" applyBorder="1" applyAlignment="1">
      <alignment horizontal="center" vertical="center"/>
    </xf>
    <xf numFmtId="0" fontId="9" fillId="0" borderId="6" xfId="0" applyFont="1" applyBorder="1" applyAlignment="1"/>
    <xf numFmtId="0" fontId="5" fillId="0" borderId="31" xfId="0" applyFont="1" applyFill="1" applyBorder="1" applyAlignment="1">
      <alignment horizontal="left" vertical="top" wrapText="1"/>
    </xf>
    <xf numFmtId="0" fontId="5" fillId="0" borderId="0" xfId="0" applyFont="1" applyFill="1" applyAlignment="1">
      <alignment horizontal="justify" wrapText="1"/>
    </xf>
    <xf numFmtId="0" fontId="5" fillId="0" borderId="0" xfId="0" applyFont="1" applyFill="1" applyAlignment="1">
      <alignment horizontal="center" wrapText="1"/>
    </xf>
    <xf numFmtId="0" fontId="9" fillId="0" borderId="0" xfId="0" applyFont="1" applyFill="1" applyAlignment="1">
      <alignment horizontal="center" wrapText="1"/>
    </xf>
    <xf numFmtId="3" fontId="9" fillId="0" borderId="0" xfId="0" applyNumberFormat="1" applyFont="1" applyFill="1" applyAlignment="1">
      <alignment horizontal="center" wrapText="1"/>
    </xf>
    <xf numFmtId="0" fontId="5" fillId="0" borderId="6" xfId="0" applyFont="1" applyFill="1" applyBorder="1" applyAlignment="1">
      <alignment horizontal="justify" wrapText="1"/>
    </xf>
    <xf numFmtId="8" fontId="5" fillId="0" borderId="6" xfId="0" applyNumberFormat="1" applyFont="1" applyFill="1" applyBorder="1" applyAlignment="1">
      <alignment horizontal="right" wrapText="1"/>
    </xf>
    <xf numFmtId="0" fontId="5" fillId="0" borderId="6" xfId="0" applyFont="1" applyFill="1" applyBorder="1" applyAlignment="1">
      <alignment horizontal="right" wrapText="1"/>
    </xf>
    <xf numFmtId="0" fontId="9" fillId="0" borderId="8" xfId="0" applyFont="1" applyFill="1" applyBorder="1" applyAlignment="1">
      <alignment horizontal="center" wrapText="1"/>
    </xf>
    <xf numFmtId="0" fontId="9" fillId="0" borderId="14" xfId="0" applyFont="1" applyFill="1" applyBorder="1" applyAlignment="1">
      <alignment horizontal="center" wrapText="1"/>
    </xf>
    <xf numFmtId="0" fontId="9" fillId="0" borderId="13" xfId="0" applyFont="1" applyFill="1" applyBorder="1" applyAlignment="1">
      <alignment horizontal="center" wrapText="1"/>
    </xf>
    <xf numFmtId="0" fontId="9" fillId="0" borderId="0" xfId="0" applyFont="1" applyAlignment="1">
      <alignment horizontal="left"/>
    </xf>
    <xf numFmtId="0" fontId="11" fillId="0" borderId="0" xfId="0" applyFont="1" applyAlignment="1">
      <alignment horizontal="left" wrapText="1"/>
    </xf>
    <xf numFmtId="3" fontId="9" fillId="0" borderId="0" xfId="0" applyNumberFormat="1" applyFont="1" applyAlignment="1">
      <alignment horizontal="center"/>
    </xf>
    <xf numFmtId="0" fontId="11" fillId="2" borderId="47" xfId="4" applyFont="1" applyFill="1" applyBorder="1" applyAlignment="1">
      <alignment horizontal="center" vertical="top" wrapText="1"/>
    </xf>
    <xf numFmtId="0" fontId="11" fillId="2" borderId="48" xfId="4" applyFont="1" applyFill="1" applyBorder="1" applyAlignment="1">
      <alignment horizontal="center" vertical="top" wrapText="1"/>
    </xf>
    <xf numFmtId="0" fontId="11" fillId="2" borderId="49" xfId="4" applyFont="1" applyFill="1" applyBorder="1" applyAlignment="1">
      <alignment horizontal="center" vertical="top" wrapText="1"/>
    </xf>
    <xf numFmtId="0" fontId="11" fillId="2" borderId="46" xfId="4" applyFont="1" applyFill="1" applyBorder="1" applyAlignment="1">
      <alignment horizontal="center" vertical="top" wrapText="1"/>
    </xf>
    <xf numFmtId="0" fontId="11" fillId="2" borderId="52" xfId="4" applyFont="1" applyFill="1" applyBorder="1" applyAlignment="1">
      <alignment horizontal="center" vertical="top" wrapText="1"/>
    </xf>
    <xf numFmtId="0" fontId="11" fillId="2" borderId="45" xfId="4" applyFont="1" applyFill="1" applyBorder="1" applyAlignment="1">
      <alignment horizontal="center" vertical="top" wrapText="1"/>
    </xf>
    <xf numFmtId="0" fontId="11" fillId="2" borderId="50" xfId="4" applyFont="1" applyFill="1" applyBorder="1" applyAlignment="1">
      <alignment horizontal="center" vertical="top" wrapText="1"/>
    </xf>
  </cellXfs>
  <cellStyles count="6">
    <cellStyle name="Normal" xfId="0" builtinId="0"/>
    <cellStyle name="Normal 2" xfId="3"/>
    <cellStyle name="Normal 3" xfId="4"/>
    <cellStyle name="Porcentagem" xfId="1" builtinId="5"/>
    <cellStyle name="Separador de milhares" xfId="2" builtinId="3"/>
    <cellStyle name="Separador de milhares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1533525</xdr:colOff>
      <xdr:row>12</xdr:row>
      <xdr:rowOff>123825</xdr:rowOff>
    </xdr:from>
    <xdr:ext cx="184731" cy="264560"/>
    <xdr:sp macro="" textlink="">
      <xdr:nvSpPr>
        <xdr:cNvPr id="4" name="CaixaDeTexto 3"/>
        <xdr:cNvSpPr txBox="1"/>
      </xdr:nvSpPr>
      <xdr:spPr>
        <a:xfrm>
          <a:off x="177165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1533525</xdr:colOff>
      <xdr:row>12</xdr:row>
      <xdr:rowOff>123825</xdr:rowOff>
    </xdr:from>
    <xdr:ext cx="184731" cy="264560"/>
    <xdr:sp macro="" textlink="">
      <xdr:nvSpPr>
        <xdr:cNvPr id="5" name="CaixaDeTexto 4"/>
        <xdr:cNvSpPr txBox="1"/>
      </xdr:nvSpPr>
      <xdr:spPr>
        <a:xfrm>
          <a:off x="177165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1533525</xdr:colOff>
      <xdr:row>12</xdr:row>
      <xdr:rowOff>123825</xdr:rowOff>
    </xdr:from>
    <xdr:ext cx="184731" cy="264560"/>
    <xdr:sp macro="" textlink="">
      <xdr:nvSpPr>
        <xdr:cNvPr id="6" name="CaixaDeTexto 5"/>
        <xdr:cNvSpPr txBox="1"/>
      </xdr:nvSpPr>
      <xdr:spPr>
        <a:xfrm>
          <a:off x="196215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1533525</xdr:colOff>
      <xdr:row>12</xdr:row>
      <xdr:rowOff>123825</xdr:rowOff>
    </xdr:from>
    <xdr:ext cx="184731" cy="264560"/>
    <xdr:sp macro="" textlink="">
      <xdr:nvSpPr>
        <xdr:cNvPr id="7" name="CaixaDeTexto 6"/>
        <xdr:cNvSpPr txBox="1"/>
      </xdr:nvSpPr>
      <xdr:spPr>
        <a:xfrm>
          <a:off x="1962150" y="19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twoCellAnchor editAs="oneCell">
    <xdr:from>
      <xdr:col>1</xdr:col>
      <xdr:colOff>0</xdr:colOff>
      <xdr:row>94</xdr:row>
      <xdr:rowOff>0</xdr:rowOff>
    </xdr:from>
    <xdr:to>
      <xdr:col>1</xdr:col>
      <xdr:colOff>133350</xdr:colOff>
      <xdr:row>94</xdr:row>
      <xdr:rowOff>133350</xdr:rowOff>
    </xdr:to>
    <xdr:pic>
      <xdr:nvPicPr>
        <xdr:cNvPr id="7170" name="Picture 2" descr="https://www.sefaz.rs.gov.br/ASP/imagens/whiteBal.gif"/>
        <xdr:cNvPicPr>
          <a:picLocks noChangeAspect="1" noChangeArrowheads="1"/>
        </xdr:cNvPicPr>
      </xdr:nvPicPr>
      <xdr:blipFill>
        <a:blip xmlns:r="http://schemas.openxmlformats.org/officeDocument/2006/relationships" r:embed="rId1" cstate="print"/>
        <a:srcRect/>
        <a:stretch>
          <a:fillRect/>
        </a:stretch>
      </xdr:blipFill>
      <xdr:spPr bwMode="auto">
        <a:xfrm>
          <a:off x="180975" y="23555325"/>
          <a:ext cx="133350" cy="133350"/>
        </a:xfrm>
        <a:prstGeom prst="rect">
          <a:avLst/>
        </a:prstGeom>
        <a:noFill/>
      </xdr:spPr>
    </xdr:pic>
    <xdr:clientData/>
  </xdr:twoCellAnchor>
  <xdr:twoCellAnchor editAs="oneCell">
    <xdr:from>
      <xdr:col>1</xdr:col>
      <xdr:colOff>0</xdr:colOff>
      <xdr:row>94</xdr:row>
      <xdr:rowOff>0</xdr:rowOff>
    </xdr:from>
    <xdr:to>
      <xdr:col>1</xdr:col>
      <xdr:colOff>133350</xdr:colOff>
      <xdr:row>94</xdr:row>
      <xdr:rowOff>133350</xdr:rowOff>
    </xdr:to>
    <xdr:pic>
      <xdr:nvPicPr>
        <xdr:cNvPr id="7171" name="Picture 3" descr="https://www.sefaz.rs.gov.br/ASP/imagens/redBall.gif"/>
        <xdr:cNvPicPr>
          <a:picLocks noChangeAspect="1" noChangeArrowheads="1"/>
        </xdr:cNvPicPr>
      </xdr:nvPicPr>
      <xdr:blipFill>
        <a:blip xmlns:r="http://schemas.openxmlformats.org/officeDocument/2006/relationships" r:embed="rId2" cstate="print"/>
        <a:srcRect/>
        <a:stretch>
          <a:fillRect/>
        </a:stretch>
      </xdr:blipFill>
      <xdr:spPr bwMode="auto">
        <a:xfrm>
          <a:off x="180975" y="24041100"/>
          <a:ext cx="133350" cy="133350"/>
        </a:xfrm>
        <a:prstGeom prst="rect">
          <a:avLst/>
        </a:prstGeom>
        <a:noFill/>
      </xdr:spPr>
    </xdr:pic>
    <xdr:clientData/>
  </xdr:twoCellAnchor>
  <xdr:twoCellAnchor editAs="oneCell">
    <xdr:from>
      <xdr:col>1</xdr:col>
      <xdr:colOff>0</xdr:colOff>
      <xdr:row>94</xdr:row>
      <xdr:rowOff>0</xdr:rowOff>
    </xdr:from>
    <xdr:to>
      <xdr:col>1</xdr:col>
      <xdr:colOff>133350</xdr:colOff>
      <xdr:row>94</xdr:row>
      <xdr:rowOff>133350</xdr:rowOff>
    </xdr:to>
    <xdr:pic>
      <xdr:nvPicPr>
        <xdr:cNvPr id="7172" name="Picture 4" descr="https://www.sefaz.rs.gov.br/ASP/imagens/redBall.gif"/>
        <xdr:cNvPicPr>
          <a:picLocks noChangeAspect="1" noChangeArrowheads="1"/>
        </xdr:cNvPicPr>
      </xdr:nvPicPr>
      <xdr:blipFill>
        <a:blip xmlns:r="http://schemas.openxmlformats.org/officeDocument/2006/relationships" r:embed="rId2" cstate="print"/>
        <a:srcRect/>
        <a:stretch>
          <a:fillRect/>
        </a:stretch>
      </xdr:blipFill>
      <xdr:spPr bwMode="auto">
        <a:xfrm>
          <a:off x="180975" y="24203025"/>
          <a:ext cx="133350" cy="133350"/>
        </a:xfrm>
        <a:prstGeom prst="rect">
          <a:avLst/>
        </a:prstGeom>
        <a:noFill/>
      </xdr:spPr>
    </xdr:pic>
    <xdr:clientData/>
  </xdr:twoCellAnchor>
  <xdr:twoCellAnchor editAs="oneCell">
    <xdr:from>
      <xdr:col>1</xdr:col>
      <xdr:colOff>0</xdr:colOff>
      <xdr:row>94</xdr:row>
      <xdr:rowOff>0</xdr:rowOff>
    </xdr:from>
    <xdr:to>
      <xdr:col>1</xdr:col>
      <xdr:colOff>133350</xdr:colOff>
      <xdr:row>94</xdr:row>
      <xdr:rowOff>133350</xdr:rowOff>
    </xdr:to>
    <xdr:pic>
      <xdr:nvPicPr>
        <xdr:cNvPr id="7173" name="Picture 5" descr="https://www.sefaz.rs.gov.br/ASP/imagens/whiteBal.gif"/>
        <xdr:cNvPicPr>
          <a:picLocks noChangeAspect="1" noChangeArrowheads="1"/>
        </xdr:cNvPicPr>
      </xdr:nvPicPr>
      <xdr:blipFill>
        <a:blip xmlns:r="http://schemas.openxmlformats.org/officeDocument/2006/relationships" r:embed="rId1" cstate="print"/>
        <a:srcRect/>
        <a:stretch>
          <a:fillRect/>
        </a:stretch>
      </xdr:blipFill>
      <xdr:spPr bwMode="auto">
        <a:xfrm>
          <a:off x="180975" y="24364950"/>
          <a:ext cx="133350" cy="133350"/>
        </a:xfrm>
        <a:prstGeom prst="rect">
          <a:avLst/>
        </a:prstGeom>
        <a:noFill/>
      </xdr:spPr>
    </xdr:pic>
    <xdr:clientData/>
  </xdr:twoCellAnchor>
  <xdr:twoCellAnchor editAs="oneCell">
    <xdr:from>
      <xdr:col>1</xdr:col>
      <xdr:colOff>0</xdr:colOff>
      <xdr:row>94</xdr:row>
      <xdr:rowOff>0</xdr:rowOff>
    </xdr:from>
    <xdr:to>
      <xdr:col>1</xdr:col>
      <xdr:colOff>133350</xdr:colOff>
      <xdr:row>94</xdr:row>
      <xdr:rowOff>133350</xdr:rowOff>
    </xdr:to>
    <xdr:pic>
      <xdr:nvPicPr>
        <xdr:cNvPr id="7174" name="Picture 6" descr="https://www.sefaz.rs.gov.br/ASP/imagens/redBall.gif"/>
        <xdr:cNvPicPr>
          <a:picLocks noChangeAspect="1" noChangeArrowheads="1"/>
        </xdr:cNvPicPr>
      </xdr:nvPicPr>
      <xdr:blipFill>
        <a:blip xmlns:r="http://schemas.openxmlformats.org/officeDocument/2006/relationships" r:embed="rId2" cstate="print"/>
        <a:srcRect/>
        <a:stretch>
          <a:fillRect/>
        </a:stretch>
      </xdr:blipFill>
      <xdr:spPr bwMode="auto">
        <a:xfrm>
          <a:off x="180975" y="24688800"/>
          <a:ext cx="133350" cy="133350"/>
        </a:xfrm>
        <a:prstGeom prst="rect">
          <a:avLst/>
        </a:prstGeom>
        <a:noFill/>
      </xdr:spPr>
    </xdr:pic>
    <xdr:clientData/>
  </xdr:twoCellAnchor>
  <xdr:twoCellAnchor editAs="oneCell">
    <xdr:from>
      <xdr:col>1</xdr:col>
      <xdr:colOff>0</xdr:colOff>
      <xdr:row>94</xdr:row>
      <xdr:rowOff>0</xdr:rowOff>
    </xdr:from>
    <xdr:to>
      <xdr:col>1</xdr:col>
      <xdr:colOff>133350</xdr:colOff>
      <xdr:row>94</xdr:row>
      <xdr:rowOff>133350</xdr:rowOff>
    </xdr:to>
    <xdr:pic>
      <xdr:nvPicPr>
        <xdr:cNvPr id="7175" name="Picture 7" descr="https://www.sefaz.rs.gov.br/ASP/imagens/redBall.gif"/>
        <xdr:cNvPicPr>
          <a:picLocks noChangeAspect="1" noChangeArrowheads="1"/>
        </xdr:cNvPicPr>
      </xdr:nvPicPr>
      <xdr:blipFill>
        <a:blip xmlns:r="http://schemas.openxmlformats.org/officeDocument/2006/relationships" r:embed="rId2" cstate="print"/>
        <a:srcRect/>
        <a:stretch>
          <a:fillRect/>
        </a:stretch>
      </xdr:blipFill>
      <xdr:spPr bwMode="auto">
        <a:xfrm>
          <a:off x="180975" y="24850725"/>
          <a:ext cx="133350" cy="133350"/>
        </a:xfrm>
        <a:prstGeom prst="rect">
          <a:avLst/>
        </a:prstGeom>
        <a:noFill/>
      </xdr:spPr>
    </xdr:pic>
    <xdr:clientData/>
  </xdr:twoCellAnchor>
  <xdr:twoCellAnchor editAs="oneCell">
    <xdr:from>
      <xdr:col>1</xdr:col>
      <xdr:colOff>0</xdr:colOff>
      <xdr:row>94</xdr:row>
      <xdr:rowOff>0</xdr:rowOff>
    </xdr:from>
    <xdr:to>
      <xdr:col>1</xdr:col>
      <xdr:colOff>133350</xdr:colOff>
      <xdr:row>94</xdr:row>
      <xdr:rowOff>133350</xdr:rowOff>
    </xdr:to>
    <xdr:pic>
      <xdr:nvPicPr>
        <xdr:cNvPr id="7176" name="Picture 8" descr="https://www.sefaz.rs.gov.br/ASP/imagens/whiteBal.gif"/>
        <xdr:cNvPicPr>
          <a:picLocks noChangeAspect="1" noChangeArrowheads="1"/>
        </xdr:cNvPicPr>
      </xdr:nvPicPr>
      <xdr:blipFill>
        <a:blip xmlns:r="http://schemas.openxmlformats.org/officeDocument/2006/relationships" r:embed="rId1" cstate="print"/>
        <a:srcRect/>
        <a:stretch>
          <a:fillRect/>
        </a:stretch>
      </xdr:blipFill>
      <xdr:spPr bwMode="auto">
        <a:xfrm>
          <a:off x="180975" y="25336500"/>
          <a:ext cx="133350" cy="133350"/>
        </a:xfrm>
        <a:prstGeom prst="rect">
          <a:avLst/>
        </a:prstGeom>
        <a:noFill/>
      </xdr:spPr>
    </xdr:pic>
    <xdr:clientData/>
  </xdr:twoCellAnchor>
  <xdr:twoCellAnchor editAs="oneCell">
    <xdr:from>
      <xdr:col>1</xdr:col>
      <xdr:colOff>0</xdr:colOff>
      <xdr:row>94</xdr:row>
      <xdr:rowOff>0</xdr:rowOff>
    </xdr:from>
    <xdr:to>
      <xdr:col>1</xdr:col>
      <xdr:colOff>133350</xdr:colOff>
      <xdr:row>94</xdr:row>
      <xdr:rowOff>133350</xdr:rowOff>
    </xdr:to>
    <xdr:pic>
      <xdr:nvPicPr>
        <xdr:cNvPr id="7177" name="Picture 9" descr="https://www.sefaz.rs.gov.br/ASP/imagens/redBall.gif"/>
        <xdr:cNvPicPr>
          <a:picLocks noChangeAspect="1" noChangeArrowheads="1"/>
        </xdr:cNvPicPr>
      </xdr:nvPicPr>
      <xdr:blipFill>
        <a:blip xmlns:r="http://schemas.openxmlformats.org/officeDocument/2006/relationships" r:embed="rId2" cstate="print"/>
        <a:srcRect/>
        <a:stretch>
          <a:fillRect/>
        </a:stretch>
      </xdr:blipFill>
      <xdr:spPr bwMode="auto">
        <a:xfrm>
          <a:off x="180975" y="25660350"/>
          <a:ext cx="133350" cy="133350"/>
        </a:xfrm>
        <a:prstGeom prst="rect">
          <a:avLst/>
        </a:prstGeom>
        <a:noFill/>
      </xdr:spPr>
    </xdr:pic>
    <xdr:clientData/>
  </xdr:twoCellAnchor>
  <xdr:twoCellAnchor editAs="oneCell">
    <xdr:from>
      <xdr:col>1</xdr:col>
      <xdr:colOff>0</xdr:colOff>
      <xdr:row>94</xdr:row>
      <xdr:rowOff>0</xdr:rowOff>
    </xdr:from>
    <xdr:to>
      <xdr:col>1</xdr:col>
      <xdr:colOff>133350</xdr:colOff>
      <xdr:row>94</xdr:row>
      <xdr:rowOff>133350</xdr:rowOff>
    </xdr:to>
    <xdr:pic>
      <xdr:nvPicPr>
        <xdr:cNvPr id="7178" name="Picture 10" descr="https://www.sefaz.rs.gov.br/ASP/imagens/greenBal.gif"/>
        <xdr:cNvPicPr>
          <a:picLocks noChangeAspect="1" noChangeArrowheads="1"/>
        </xdr:cNvPicPr>
      </xdr:nvPicPr>
      <xdr:blipFill>
        <a:blip xmlns:r="http://schemas.openxmlformats.org/officeDocument/2006/relationships" r:embed="rId3" cstate="print"/>
        <a:srcRect/>
        <a:stretch>
          <a:fillRect/>
        </a:stretch>
      </xdr:blipFill>
      <xdr:spPr bwMode="auto">
        <a:xfrm>
          <a:off x="180975" y="25984200"/>
          <a:ext cx="133350" cy="133350"/>
        </a:xfrm>
        <a:prstGeom prst="rect">
          <a:avLst/>
        </a:prstGeom>
        <a:noFill/>
      </xdr:spPr>
    </xdr:pic>
    <xdr:clientData/>
  </xdr:twoCellAnchor>
  <xdr:twoCellAnchor editAs="oneCell">
    <xdr:from>
      <xdr:col>1</xdr:col>
      <xdr:colOff>0</xdr:colOff>
      <xdr:row>94</xdr:row>
      <xdr:rowOff>0</xdr:rowOff>
    </xdr:from>
    <xdr:to>
      <xdr:col>1</xdr:col>
      <xdr:colOff>133350</xdr:colOff>
      <xdr:row>94</xdr:row>
      <xdr:rowOff>133350</xdr:rowOff>
    </xdr:to>
    <xdr:pic>
      <xdr:nvPicPr>
        <xdr:cNvPr id="7179" name="Picture 11" descr="https://www.sefaz.rs.gov.br/ASP/imagens/greenBal.gif"/>
        <xdr:cNvPicPr>
          <a:picLocks noChangeAspect="1" noChangeArrowheads="1"/>
        </xdr:cNvPicPr>
      </xdr:nvPicPr>
      <xdr:blipFill>
        <a:blip xmlns:r="http://schemas.openxmlformats.org/officeDocument/2006/relationships" r:embed="rId3" cstate="print"/>
        <a:srcRect/>
        <a:stretch>
          <a:fillRect/>
        </a:stretch>
      </xdr:blipFill>
      <xdr:spPr bwMode="auto">
        <a:xfrm>
          <a:off x="180975" y="26146125"/>
          <a:ext cx="133350" cy="133350"/>
        </a:xfrm>
        <a:prstGeom prst="rect">
          <a:avLst/>
        </a:prstGeom>
        <a:noFill/>
      </xdr:spPr>
    </xdr:pic>
    <xdr:clientData/>
  </xdr:twoCellAnchor>
  <xdr:twoCellAnchor editAs="oneCell">
    <xdr:from>
      <xdr:col>1</xdr:col>
      <xdr:colOff>0</xdr:colOff>
      <xdr:row>94</xdr:row>
      <xdr:rowOff>0</xdr:rowOff>
    </xdr:from>
    <xdr:to>
      <xdr:col>1</xdr:col>
      <xdr:colOff>133350</xdr:colOff>
      <xdr:row>94</xdr:row>
      <xdr:rowOff>133350</xdr:rowOff>
    </xdr:to>
    <xdr:pic>
      <xdr:nvPicPr>
        <xdr:cNvPr id="7180" name="Picture 12" descr="https://www.sefaz.rs.gov.br/ASP/imagens/whiteBal.gif"/>
        <xdr:cNvPicPr>
          <a:picLocks noChangeAspect="1" noChangeArrowheads="1"/>
        </xdr:cNvPicPr>
      </xdr:nvPicPr>
      <xdr:blipFill>
        <a:blip xmlns:r="http://schemas.openxmlformats.org/officeDocument/2006/relationships" r:embed="rId1" cstate="print"/>
        <a:srcRect/>
        <a:stretch>
          <a:fillRect/>
        </a:stretch>
      </xdr:blipFill>
      <xdr:spPr bwMode="auto">
        <a:xfrm>
          <a:off x="180975" y="26308050"/>
          <a:ext cx="133350" cy="133350"/>
        </a:xfrm>
        <a:prstGeom prst="rect">
          <a:avLst/>
        </a:prstGeom>
        <a:noFill/>
      </xdr:spPr>
    </xdr:pic>
    <xdr:clientData/>
  </xdr:twoCellAnchor>
  <xdr:twoCellAnchor editAs="oneCell">
    <xdr:from>
      <xdr:col>1</xdr:col>
      <xdr:colOff>0</xdr:colOff>
      <xdr:row>94</xdr:row>
      <xdr:rowOff>0</xdr:rowOff>
    </xdr:from>
    <xdr:to>
      <xdr:col>1</xdr:col>
      <xdr:colOff>133350</xdr:colOff>
      <xdr:row>94</xdr:row>
      <xdr:rowOff>133350</xdr:rowOff>
    </xdr:to>
    <xdr:pic>
      <xdr:nvPicPr>
        <xdr:cNvPr id="7181" name="Picture 13" descr="https://www.sefaz.rs.gov.br/ASP/imagens/redBall.gif"/>
        <xdr:cNvPicPr>
          <a:picLocks noChangeAspect="1" noChangeArrowheads="1"/>
        </xdr:cNvPicPr>
      </xdr:nvPicPr>
      <xdr:blipFill>
        <a:blip xmlns:r="http://schemas.openxmlformats.org/officeDocument/2006/relationships" r:embed="rId2" cstate="print"/>
        <a:srcRect/>
        <a:stretch>
          <a:fillRect/>
        </a:stretch>
      </xdr:blipFill>
      <xdr:spPr bwMode="auto">
        <a:xfrm>
          <a:off x="180975" y="26793825"/>
          <a:ext cx="133350" cy="133350"/>
        </a:xfrm>
        <a:prstGeom prst="rect">
          <a:avLst/>
        </a:prstGeom>
        <a:noFill/>
      </xdr:spPr>
    </xdr:pic>
    <xdr:clientData/>
  </xdr:twoCellAnchor>
  <xdr:twoCellAnchor editAs="oneCell">
    <xdr:from>
      <xdr:col>1</xdr:col>
      <xdr:colOff>0</xdr:colOff>
      <xdr:row>94</xdr:row>
      <xdr:rowOff>0</xdr:rowOff>
    </xdr:from>
    <xdr:to>
      <xdr:col>1</xdr:col>
      <xdr:colOff>133350</xdr:colOff>
      <xdr:row>94</xdr:row>
      <xdr:rowOff>133350</xdr:rowOff>
    </xdr:to>
    <xdr:pic>
      <xdr:nvPicPr>
        <xdr:cNvPr id="7182" name="Picture 14" descr="https://www.sefaz.rs.gov.br/ASP/imagens/greenBal.gif"/>
        <xdr:cNvPicPr>
          <a:picLocks noChangeAspect="1" noChangeArrowheads="1"/>
        </xdr:cNvPicPr>
      </xdr:nvPicPr>
      <xdr:blipFill>
        <a:blip xmlns:r="http://schemas.openxmlformats.org/officeDocument/2006/relationships" r:embed="rId3" cstate="print"/>
        <a:srcRect/>
        <a:stretch>
          <a:fillRect/>
        </a:stretch>
      </xdr:blipFill>
      <xdr:spPr bwMode="auto">
        <a:xfrm>
          <a:off x="180975" y="27441525"/>
          <a:ext cx="133350" cy="133350"/>
        </a:xfrm>
        <a:prstGeom prst="rect">
          <a:avLst/>
        </a:prstGeom>
        <a:noFill/>
      </xdr:spPr>
    </xdr:pic>
    <xdr:clientData/>
  </xdr:twoCellAnchor>
  <xdr:twoCellAnchor editAs="oneCell">
    <xdr:from>
      <xdr:col>1</xdr:col>
      <xdr:colOff>0</xdr:colOff>
      <xdr:row>94</xdr:row>
      <xdr:rowOff>0</xdr:rowOff>
    </xdr:from>
    <xdr:to>
      <xdr:col>1</xdr:col>
      <xdr:colOff>133350</xdr:colOff>
      <xdr:row>94</xdr:row>
      <xdr:rowOff>133350</xdr:rowOff>
    </xdr:to>
    <xdr:pic>
      <xdr:nvPicPr>
        <xdr:cNvPr id="7183" name="Picture 15" descr="https://www.sefaz.rs.gov.br/ASP/imagens/redBall.gif"/>
        <xdr:cNvPicPr>
          <a:picLocks noChangeAspect="1" noChangeArrowheads="1"/>
        </xdr:cNvPicPr>
      </xdr:nvPicPr>
      <xdr:blipFill>
        <a:blip xmlns:r="http://schemas.openxmlformats.org/officeDocument/2006/relationships" r:embed="rId2" cstate="print"/>
        <a:srcRect/>
        <a:stretch>
          <a:fillRect/>
        </a:stretch>
      </xdr:blipFill>
      <xdr:spPr bwMode="auto">
        <a:xfrm>
          <a:off x="180975" y="28270200"/>
          <a:ext cx="133350" cy="133350"/>
        </a:xfrm>
        <a:prstGeom prst="rect">
          <a:avLst/>
        </a:prstGeom>
        <a:noFill/>
      </xdr:spPr>
    </xdr:pic>
    <xdr:clientData/>
  </xdr:twoCellAnchor>
  <xdr:twoCellAnchor editAs="oneCell">
    <xdr:from>
      <xdr:col>1</xdr:col>
      <xdr:colOff>0</xdr:colOff>
      <xdr:row>94</xdr:row>
      <xdr:rowOff>0</xdr:rowOff>
    </xdr:from>
    <xdr:to>
      <xdr:col>1</xdr:col>
      <xdr:colOff>133350</xdr:colOff>
      <xdr:row>94</xdr:row>
      <xdr:rowOff>133350</xdr:rowOff>
    </xdr:to>
    <xdr:pic>
      <xdr:nvPicPr>
        <xdr:cNvPr id="7184" name="Picture 16" descr="https://www.sefaz.rs.gov.br/ASP/imagens/whiteBal.gif"/>
        <xdr:cNvPicPr>
          <a:picLocks noChangeAspect="1" noChangeArrowheads="1"/>
        </xdr:cNvPicPr>
      </xdr:nvPicPr>
      <xdr:blipFill>
        <a:blip xmlns:r="http://schemas.openxmlformats.org/officeDocument/2006/relationships" r:embed="rId1" cstate="print"/>
        <a:srcRect/>
        <a:stretch>
          <a:fillRect/>
        </a:stretch>
      </xdr:blipFill>
      <xdr:spPr bwMode="auto">
        <a:xfrm>
          <a:off x="180975" y="28432125"/>
          <a:ext cx="133350" cy="133350"/>
        </a:xfrm>
        <a:prstGeom prst="rect">
          <a:avLst/>
        </a:prstGeom>
        <a:noFill/>
      </xdr:spPr>
    </xdr:pic>
    <xdr:clientData/>
  </xdr:twoCellAnchor>
  <xdr:twoCellAnchor editAs="oneCell">
    <xdr:from>
      <xdr:col>1</xdr:col>
      <xdr:colOff>0</xdr:colOff>
      <xdr:row>94</xdr:row>
      <xdr:rowOff>0</xdr:rowOff>
    </xdr:from>
    <xdr:to>
      <xdr:col>1</xdr:col>
      <xdr:colOff>133350</xdr:colOff>
      <xdr:row>94</xdr:row>
      <xdr:rowOff>133350</xdr:rowOff>
    </xdr:to>
    <xdr:pic>
      <xdr:nvPicPr>
        <xdr:cNvPr id="7185" name="Picture 17" descr="https://www.sefaz.rs.gov.br/ASP/imagens/greenBal.gif"/>
        <xdr:cNvPicPr>
          <a:picLocks noChangeAspect="1" noChangeArrowheads="1"/>
        </xdr:cNvPicPr>
      </xdr:nvPicPr>
      <xdr:blipFill>
        <a:blip xmlns:r="http://schemas.openxmlformats.org/officeDocument/2006/relationships" r:embed="rId3" cstate="print"/>
        <a:srcRect/>
        <a:stretch>
          <a:fillRect/>
        </a:stretch>
      </xdr:blipFill>
      <xdr:spPr bwMode="auto">
        <a:xfrm>
          <a:off x="180975" y="28594050"/>
          <a:ext cx="133350" cy="133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561975</xdr:colOff>
      <xdr:row>111</xdr:row>
      <xdr:rowOff>47625</xdr:rowOff>
    </xdr:from>
    <xdr:to>
      <xdr:col>12</xdr:col>
      <xdr:colOff>514350</xdr:colOff>
      <xdr:row>115</xdr:row>
      <xdr:rowOff>19050</xdr:rowOff>
    </xdr:to>
    <xdr:sp macro="" textlink="">
      <xdr:nvSpPr>
        <xdr:cNvPr id="5121" name="Text Box 1"/>
        <xdr:cNvSpPr txBox="1">
          <a:spLocks noChangeArrowheads="1"/>
        </xdr:cNvSpPr>
      </xdr:nvSpPr>
      <xdr:spPr bwMode="auto">
        <a:xfrm>
          <a:off x="561975" y="8829675"/>
          <a:ext cx="10506075" cy="5429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pt-BR" sz="1000" b="0" i="0" strike="noStrike">
              <a:solidFill>
                <a:srgbClr val="000000"/>
              </a:solidFill>
              <a:latin typeface="Arial"/>
              <a:cs typeface="Arial"/>
            </a:rPr>
            <a:t>O demonstrativo deve ser acompanhado de análise a respito de alguns itens que representam parâmetros básicos para se chegar aos valores apresentados como metas.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59</xdr:row>
      <xdr:rowOff>9525</xdr:rowOff>
    </xdr:from>
    <xdr:to>
      <xdr:col>7</xdr:col>
      <xdr:colOff>38100</xdr:colOff>
      <xdr:row>65</xdr:row>
      <xdr:rowOff>9525</xdr:rowOff>
    </xdr:to>
    <xdr:sp macro="" textlink="">
      <xdr:nvSpPr>
        <xdr:cNvPr id="6145" name="Text Box 1"/>
        <xdr:cNvSpPr txBox="1">
          <a:spLocks noChangeArrowheads="1"/>
        </xdr:cNvSpPr>
      </xdr:nvSpPr>
      <xdr:spPr bwMode="auto">
        <a:xfrm>
          <a:off x="57150" y="8943975"/>
          <a:ext cx="6896100" cy="8572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pt-BR" sz="1000" b="0" i="0" strike="noStrike">
              <a:solidFill>
                <a:srgbClr val="000000"/>
              </a:solidFill>
              <a:latin typeface="Arial"/>
              <a:cs typeface="Arial"/>
            </a:rPr>
            <a:t>o Demonstrativo da Evolução do Patrimônio Líquido deve trazer em conjunto uma análise dos valores apresentados, com as causas das variações do PL do ente da Federação como, por exemplo, fatos que venham a causar desequilíbrio entre as variações ativas e passivas e outros que contribuam para o aumento ou a diminuição da situação líquida patrimonial. </a:t>
          </a:r>
        </a:p>
        <a:p>
          <a:pPr algn="l" rtl="1">
            <a:defRPr sz="1000"/>
          </a:pPr>
          <a:r>
            <a:rPr lang="pt-BR" sz="1000" b="0" i="0" strike="noStrike">
              <a:solidFill>
                <a:srgbClr val="000000"/>
              </a:solidFill>
              <a:latin typeface="Arial"/>
              <a:cs typeface="Arial"/>
            </a:rPr>
            <a:t>Também podem impactar substancialmente no PL a contabilização das projeções atuariais, as reavaliações de bens e outros que possam merecer destaque.</a:t>
          </a: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93"/>
  <sheetViews>
    <sheetView topLeftCell="A49" workbookViewId="0">
      <selection activeCell="E78" sqref="E78"/>
    </sheetView>
  </sheetViews>
  <sheetFormatPr defaultRowHeight="12.75"/>
  <cols>
    <col min="1" max="1" width="2.7109375" style="25" customWidth="1"/>
    <col min="2" max="2" width="37.42578125" style="25" customWidth="1"/>
    <col min="3" max="3" width="14.28515625" style="25" customWidth="1"/>
    <col min="4" max="4" width="14" style="25" customWidth="1"/>
    <col min="5" max="5" width="13.5703125" style="25" bestFit="1" customWidth="1"/>
    <col min="6" max="6" width="14.7109375" style="25" customWidth="1"/>
    <col min="7" max="8" width="13.85546875" style="25" customWidth="1"/>
    <col min="9" max="9" width="14.5703125" style="25" customWidth="1"/>
    <col min="10" max="10" width="4.7109375" style="25" hidden="1" customWidth="1"/>
    <col min="11" max="11" width="14" style="25" bestFit="1" customWidth="1"/>
    <col min="12" max="16384" width="9.140625" style="25"/>
  </cols>
  <sheetData>
    <row r="1" spans="1:11">
      <c r="A1" s="446" t="s">
        <v>491</v>
      </c>
      <c r="B1" s="446"/>
      <c r="C1" s="446"/>
      <c r="D1" s="446"/>
      <c r="E1" s="446"/>
      <c r="F1" s="446"/>
      <c r="G1" s="446"/>
      <c r="H1" s="446"/>
      <c r="I1" s="446"/>
      <c r="J1" s="446"/>
    </row>
    <row r="2" spans="1:11">
      <c r="A2" s="447" t="s">
        <v>16</v>
      </c>
      <c r="B2" s="447"/>
      <c r="C2" s="447"/>
      <c r="D2" s="447"/>
      <c r="E2" s="447"/>
      <c r="F2" s="447"/>
      <c r="G2" s="447"/>
      <c r="H2" s="447"/>
    </row>
    <row r="3" spans="1:11">
      <c r="A3" s="447" t="s">
        <v>142</v>
      </c>
      <c r="B3" s="447"/>
      <c r="C3" s="447"/>
      <c r="D3" s="447"/>
      <c r="E3" s="447"/>
      <c r="F3" s="447"/>
      <c r="G3" s="447"/>
      <c r="H3" s="447"/>
      <c r="I3" s="447"/>
      <c r="J3" s="447"/>
    </row>
    <row r="4" spans="1:11">
      <c r="A4" s="31"/>
      <c r="B4" s="31"/>
      <c r="C4" s="31"/>
      <c r="D4" s="31"/>
      <c r="E4" s="31" t="s">
        <v>231</v>
      </c>
      <c r="F4" s="31"/>
      <c r="G4" s="31"/>
      <c r="H4" s="31"/>
      <c r="I4" s="31"/>
      <c r="J4" s="31"/>
    </row>
    <row r="5" spans="1:11">
      <c r="A5" s="447" t="s">
        <v>140</v>
      </c>
      <c r="B5" s="447"/>
      <c r="C5" s="447"/>
      <c r="D5" s="447"/>
      <c r="E5" s="447"/>
      <c r="F5" s="447"/>
      <c r="G5" s="447"/>
      <c r="H5" s="447"/>
      <c r="I5" s="447"/>
      <c r="J5" s="447"/>
    </row>
    <row r="6" spans="1:11" ht="15" customHeight="1">
      <c r="A6" s="32"/>
      <c r="B6" s="32"/>
      <c r="C6" s="32"/>
      <c r="D6" s="32"/>
      <c r="E6" s="32"/>
      <c r="F6" s="32"/>
      <c r="G6" s="425"/>
      <c r="H6" s="425"/>
      <c r="I6" s="425"/>
    </row>
    <row r="7" spans="1:11" ht="15" customHeight="1">
      <c r="A7" s="181"/>
      <c r="B7" s="182" t="s">
        <v>191</v>
      </c>
      <c r="C7" s="183"/>
      <c r="D7" s="183"/>
      <c r="E7" s="183"/>
      <c r="F7" s="184"/>
      <c r="G7" s="265" t="s">
        <v>483</v>
      </c>
      <c r="H7" s="448" t="s">
        <v>487</v>
      </c>
      <c r="I7" s="449"/>
      <c r="J7" s="186"/>
      <c r="K7" s="185">
        <v>4.4999999999999998E-2</v>
      </c>
    </row>
    <row r="8" spans="1:11" ht="27" customHeight="1">
      <c r="A8" s="442" t="s">
        <v>193</v>
      </c>
      <c r="B8" s="443"/>
      <c r="C8" s="183" t="s">
        <v>194</v>
      </c>
      <c r="D8" s="183"/>
      <c r="E8" s="184"/>
      <c r="F8" s="187" t="s">
        <v>417</v>
      </c>
      <c r="G8" s="265"/>
      <c r="H8" s="188" t="s">
        <v>195</v>
      </c>
      <c r="I8" s="188"/>
      <c r="J8" s="189"/>
      <c r="K8" s="34"/>
    </row>
    <row r="9" spans="1:11" ht="12.75" customHeight="1">
      <c r="A9" s="444"/>
      <c r="B9" s="445"/>
      <c r="C9" s="187" t="s">
        <v>196</v>
      </c>
      <c r="D9" s="187" t="s">
        <v>197</v>
      </c>
      <c r="E9" s="187" t="s">
        <v>279</v>
      </c>
      <c r="F9" s="187" t="s">
        <v>380</v>
      </c>
      <c r="G9" s="190" t="s">
        <v>398</v>
      </c>
      <c r="H9" s="187" t="s">
        <v>411</v>
      </c>
      <c r="I9" s="191" t="s">
        <v>482</v>
      </c>
      <c r="J9" s="186" t="s">
        <v>63</v>
      </c>
      <c r="K9" s="33" t="s">
        <v>63</v>
      </c>
    </row>
    <row r="10" spans="1:11" ht="14.25" customHeight="1">
      <c r="A10" s="438" t="s">
        <v>198</v>
      </c>
      <c r="B10" s="439"/>
      <c r="C10" s="192">
        <f>SUM(C11:C13)</f>
        <v>965716.75</v>
      </c>
      <c r="D10" s="192">
        <f>SUM(D11:D13)</f>
        <v>681596.52</v>
      </c>
      <c r="E10" s="192">
        <f>SUM(E11:E13)</f>
        <v>869392.8899999999</v>
      </c>
      <c r="F10" s="192">
        <f>SUM(F11:F13)</f>
        <v>795000</v>
      </c>
      <c r="G10" s="193">
        <f t="shared" ref="G10:H10" si="0">SUM(G11:G13)</f>
        <v>775000</v>
      </c>
      <c r="H10" s="192">
        <f t="shared" si="0"/>
        <v>742000</v>
      </c>
      <c r="I10" s="192">
        <f t="shared" ref="I10" si="1">SUM(I11:I13)</f>
        <v>775000</v>
      </c>
      <c r="J10" s="194">
        <f>SUM(G10:I10)</f>
        <v>2292000</v>
      </c>
      <c r="K10" s="35">
        <f>SUM(G10:I10)</f>
        <v>2292000</v>
      </c>
    </row>
    <row r="11" spans="1:11" ht="15" customHeight="1">
      <c r="A11" s="258"/>
      <c r="B11" s="259" t="s">
        <v>199</v>
      </c>
      <c r="C11" s="195">
        <v>947696.33</v>
      </c>
      <c r="D11" s="195">
        <v>655921.91</v>
      </c>
      <c r="E11" s="195">
        <f>712093.95+55071.07</f>
        <v>767165.0199999999</v>
      </c>
      <c r="F11" s="195">
        <f>710000+50000</f>
        <v>760000</v>
      </c>
      <c r="G11" s="196">
        <v>710000</v>
      </c>
      <c r="H11" s="195">
        <f>G11*$K$7+G11+50</f>
        <v>742000</v>
      </c>
      <c r="I11" s="195">
        <f>H11*$K$7+H11-390</f>
        <v>775000</v>
      </c>
      <c r="J11" s="197">
        <f>SUM(G11:I11)</f>
        <v>2227000</v>
      </c>
      <c r="K11" s="35">
        <f>SUM(G11:I11)</f>
        <v>2227000</v>
      </c>
    </row>
    <row r="12" spans="1:11" ht="14.25" customHeight="1">
      <c r="A12" s="258"/>
      <c r="B12" s="259" t="s">
        <v>200</v>
      </c>
      <c r="C12" s="195">
        <v>9221.2999999999993</v>
      </c>
      <c r="D12" s="195">
        <v>7745.58</v>
      </c>
      <c r="E12" s="195">
        <v>12719.12</v>
      </c>
      <c r="F12" s="195">
        <v>10000</v>
      </c>
      <c r="G12" s="196">
        <v>15000</v>
      </c>
      <c r="H12" s="195"/>
      <c r="I12" s="195"/>
      <c r="J12" s="197"/>
      <c r="K12" s="35"/>
    </row>
    <row r="13" spans="1:11">
      <c r="A13" s="258"/>
      <c r="B13" s="259" t="s">
        <v>201</v>
      </c>
      <c r="C13" s="195">
        <v>8799.1200000000008</v>
      </c>
      <c r="D13" s="195">
        <v>17929.03</v>
      </c>
      <c r="E13" s="195">
        <v>89508.75</v>
      </c>
      <c r="F13" s="195">
        <v>25000</v>
      </c>
      <c r="G13" s="196">
        <v>50000</v>
      </c>
      <c r="H13" s="195"/>
      <c r="I13" s="195"/>
      <c r="J13" s="197"/>
      <c r="K13" s="35"/>
    </row>
    <row r="14" spans="1:11">
      <c r="A14" s="438" t="s">
        <v>137</v>
      </c>
      <c r="B14" s="439"/>
      <c r="C14" s="192">
        <f>C15</f>
        <v>133428.41</v>
      </c>
      <c r="D14" s="192">
        <f>D15</f>
        <v>117344.13</v>
      </c>
      <c r="E14" s="192">
        <f>E15</f>
        <v>95446.99</v>
      </c>
      <c r="F14" s="192">
        <f>F15</f>
        <v>72000</v>
      </c>
      <c r="G14" s="193">
        <f t="shared" ref="G14:I14" si="2">G15</f>
        <v>105000</v>
      </c>
      <c r="H14" s="192">
        <f t="shared" si="2"/>
        <v>110000</v>
      </c>
      <c r="I14" s="192">
        <f t="shared" si="2"/>
        <v>115000</v>
      </c>
      <c r="J14" s="197">
        <f>SUM(G14:I14)</f>
        <v>330000</v>
      </c>
      <c r="K14" s="35">
        <f>SUM(G14:I14)</f>
        <v>330000</v>
      </c>
    </row>
    <row r="15" spans="1:11">
      <c r="A15" s="258"/>
      <c r="B15" s="259" t="s">
        <v>202</v>
      </c>
      <c r="C15" s="195">
        <v>133428.41</v>
      </c>
      <c r="D15" s="195">
        <v>117344.13</v>
      </c>
      <c r="E15" s="195">
        <v>95446.99</v>
      </c>
      <c r="F15" s="195">
        <v>72000</v>
      </c>
      <c r="G15" s="196">
        <v>105000</v>
      </c>
      <c r="H15" s="195">
        <f>G15*$K$7+G15+275</f>
        <v>110000</v>
      </c>
      <c r="I15" s="195">
        <f>H15*$K$7+H15+50</f>
        <v>115000</v>
      </c>
      <c r="J15" s="197">
        <f>SUM(G15:I15)</f>
        <v>330000</v>
      </c>
      <c r="K15" s="35">
        <f>SUM(G15:I15)</f>
        <v>330000</v>
      </c>
    </row>
    <row r="16" spans="1:11">
      <c r="A16" s="438" t="s">
        <v>138</v>
      </c>
      <c r="B16" s="439"/>
      <c r="C16" s="192">
        <f>SUM(C17:C20)</f>
        <v>92883.35</v>
      </c>
      <c r="D16" s="192">
        <f>SUM(D17:D20)</f>
        <v>109226.39</v>
      </c>
      <c r="E16" s="192">
        <f>SUM(E17:E20)</f>
        <v>169309.9</v>
      </c>
      <c r="F16" s="192">
        <f>SUM(F17:F20)</f>
        <v>144000</v>
      </c>
      <c r="G16" s="193">
        <f t="shared" ref="G16:I16" si="3">SUM(G17:G20)</f>
        <v>164000</v>
      </c>
      <c r="H16" s="192">
        <f t="shared" si="3"/>
        <v>172000</v>
      </c>
      <c r="I16" s="192">
        <f t="shared" si="3"/>
        <v>179000</v>
      </c>
      <c r="J16" s="197">
        <f>SUM(G16:I16)+0.01</f>
        <v>515000.01</v>
      </c>
      <c r="K16" s="35">
        <f>SUM(G16:I16)</f>
        <v>515000</v>
      </c>
    </row>
    <row r="17" spans="1:11">
      <c r="A17" s="260"/>
      <c r="B17" s="259" t="s">
        <v>203</v>
      </c>
      <c r="C17" s="195">
        <v>6435.82</v>
      </c>
      <c r="D17" s="195">
        <v>9561.7800000000007</v>
      </c>
      <c r="E17" s="195">
        <v>9555</v>
      </c>
      <c r="F17" s="195">
        <v>10000</v>
      </c>
      <c r="G17" s="196">
        <v>14000</v>
      </c>
      <c r="H17" s="195">
        <f>G17*$K$7+G17+370</f>
        <v>15000</v>
      </c>
      <c r="I17" s="195">
        <f>H17*$K$7+H17+325</f>
        <v>16000</v>
      </c>
      <c r="J17" s="197"/>
      <c r="K17" s="35">
        <f t="shared" ref="K17:K18" si="4">SUM(G17:J17)</f>
        <v>45000</v>
      </c>
    </row>
    <row r="18" spans="1:11">
      <c r="A18" s="260"/>
      <c r="B18" s="259" t="s">
        <v>204</v>
      </c>
      <c r="C18" s="195">
        <v>58.35</v>
      </c>
      <c r="D18" s="195">
        <v>86.35</v>
      </c>
      <c r="E18" s="195">
        <v>0</v>
      </c>
      <c r="F18" s="195">
        <v>0</v>
      </c>
      <c r="G18" s="196"/>
      <c r="H18" s="195"/>
      <c r="I18" s="195"/>
      <c r="J18" s="197"/>
      <c r="K18" s="35">
        <f t="shared" si="4"/>
        <v>0</v>
      </c>
    </row>
    <row r="19" spans="1:11">
      <c r="A19" s="260"/>
      <c r="B19" s="259" t="s">
        <v>205</v>
      </c>
      <c r="C19" s="195">
        <v>63220.57</v>
      </c>
      <c r="D19" s="195">
        <v>71406.759999999995</v>
      </c>
      <c r="E19" s="195">
        <v>75294.66</v>
      </c>
      <c r="F19" s="195">
        <v>77700</v>
      </c>
      <c r="G19" s="196">
        <v>90000</v>
      </c>
      <c r="H19" s="195">
        <f>G19*$K$7+G19-50</f>
        <v>94000</v>
      </c>
      <c r="I19" s="195">
        <f>H19*$K$7+H19-230</f>
        <v>98000</v>
      </c>
      <c r="J19" s="197">
        <f>SUM(G19:I19)</f>
        <v>282000</v>
      </c>
      <c r="K19" s="35">
        <f t="shared" ref="K19:K44" si="5">SUM(G19:I19)</f>
        <v>282000</v>
      </c>
    </row>
    <row r="20" spans="1:11">
      <c r="A20" s="260"/>
      <c r="B20" s="259" t="s">
        <v>206</v>
      </c>
      <c r="C20" s="195">
        <v>23168.61</v>
      </c>
      <c r="D20" s="195">
        <f>24796.5+3375</f>
        <v>28171.5</v>
      </c>
      <c r="E20" s="195">
        <f>169309.9-84849.66</f>
        <v>84460.239999999991</v>
      </c>
      <c r="F20" s="195">
        <f>52300+4000</f>
        <v>56300</v>
      </c>
      <c r="G20" s="196">
        <v>60000</v>
      </c>
      <c r="H20" s="195">
        <f>G20*$K$7+G20+300</f>
        <v>63000</v>
      </c>
      <c r="I20" s="195">
        <f>H20*$K$7+H20-835</f>
        <v>65000</v>
      </c>
      <c r="J20" s="197">
        <f>SUM(G20:I20)+0.01</f>
        <v>188000.01</v>
      </c>
      <c r="K20" s="35">
        <f t="shared" si="5"/>
        <v>188000</v>
      </c>
    </row>
    <row r="21" spans="1:11">
      <c r="A21" s="438" t="s">
        <v>207</v>
      </c>
      <c r="B21" s="439"/>
      <c r="C21" s="192">
        <f>C22+C31+C38+C40</f>
        <v>12349671.82</v>
      </c>
      <c r="D21" s="192">
        <f>D22+D31+D38+D40</f>
        <v>12914538.84</v>
      </c>
      <c r="E21" s="192">
        <f>E22+E31+E38+E40</f>
        <v>14472126.26</v>
      </c>
      <c r="F21" s="192">
        <f>F22+F31+F38+F40</f>
        <v>14639500</v>
      </c>
      <c r="G21" s="193">
        <f>G22+G31+G38</f>
        <v>16313000</v>
      </c>
      <c r="H21" s="192">
        <f>H22+H31+H38+H41</f>
        <v>17080000</v>
      </c>
      <c r="I21" s="192">
        <f>I22+I31+I38+I41</f>
        <v>17831000</v>
      </c>
      <c r="J21" s="197">
        <f>SUM(G21:I21)</f>
        <v>51224000</v>
      </c>
      <c r="K21" s="35">
        <f t="shared" si="5"/>
        <v>51224000</v>
      </c>
    </row>
    <row r="22" spans="1:11">
      <c r="A22" s="438" t="s">
        <v>208</v>
      </c>
      <c r="B22" s="439"/>
      <c r="C22" s="198">
        <f t="shared" ref="C22:E22" si="6">SUM(C23:C30)</f>
        <v>6106416.790000001</v>
      </c>
      <c r="D22" s="198">
        <f t="shared" si="6"/>
        <v>6467829.4700000016</v>
      </c>
      <c r="E22" s="198">
        <f t="shared" si="6"/>
        <v>7198069.1600000001</v>
      </c>
      <c r="F22" s="198">
        <f t="shared" ref="F22:H22" si="7">SUM(F23:F30)</f>
        <v>7162100</v>
      </c>
      <c r="G22" s="199">
        <f t="shared" si="7"/>
        <v>8497000</v>
      </c>
      <c r="H22" s="198">
        <f t="shared" si="7"/>
        <v>8881000</v>
      </c>
      <c r="I22" s="198">
        <f>SUM(I23:I30)</f>
        <v>9281000</v>
      </c>
      <c r="J22" s="197">
        <f>SUM(G22:I22)</f>
        <v>26659000</v>
      </c>
      <c r="K22" s="35">
        <f t="shared" si="5"/>
        <v>26659000</v>
      </c>
    </row>
    <row r="23" spans="1:11">
      <c r="A23" s="260"/>
      <c r="B23" s="261" t="s">
        <v>209</v>
      </c>
      <c r="C23" s="229">
        <v>5293206.57</v>
      </c>
      <c r="D23" s="195">
        <v>5464630.8300000001</v>
      </c>
      <c r="E23" s="195">
        <f>4745462.23+1124010.47</f>
        <v>5869472.7000000002</v>
      </c>
      <c r="F23" s="195">
        <f>4880000+1220000</f>
        <v>6100000</v>
      </c>
      <c r="G23" s="196">
        <v>7070000</v>
      </c>
      <c r="H23" s="195">
        <f>G23*$K$7+G23-150</f>
        <v>7388000</v>
      </c>
      <c r="I23" s="195">
        <f>H23*$K$7+H23-460</f>
        <v>7720000</v>
      </c>
      <c r="J23" s="197">
        <f t="shared" ref="J23:J27" si="8">SUM(G23:I23)</f>
        <v>22178000</v>
      </c>
      <c r="K23" s="35">
        <f t="shared" si="5"/>
        <v>22178000</v>
      </c>
    </row>
    <row r="24" spans="1:11">
      <c r="A24" s="200"/>
      <c r="B24" s="201" t="s">
        <v>210</v>
      </c>
      <c r="C24" s="195">
        <v>0</v>
      </c>
      <c r="D24" s="195">
        <v>0</v>
      </c>
      <c r="E24" s="195">
        <v>0</v>
      </c>
      <c r="F24" s="195">
        <v>0</v>
      </c>
      <c r="G24" s="196">
        <v>0</v>
      </c>
      <c r="H24" s="195">
        <v>0</v>
      </c>
      <c r="I24" s="195">
        <v>0</v>
      </c>
      <c r="J24" s="197">
        <f t="shared" si="8"/>
        <v>0</v>
      </c>
      <c r="K24" s="35">
        <f t="shared" si="5"/>
        <v>0</v>
      </c>
    </row>
    <row r="25" spans="1:11">
      <c r="A25" s="200"/>
      <c r="B25" s="201" t="s">
        <v>212</v>
      </c>
      <c r="C25" s="195">
        <v>66643.710000000006</v>
      </c>
      <c r="D25" s="195">
        <v>80409.48</v>
      </c>
      <c r="E25" s="195">
        <v>83424.34</v>
      </c>
      <c r="F25" s="195">
        <v>80000</v>
      </c>
      <c r="G25" s="196">
        <v>92000</v>
      </c>
      <c r="H25" s="195">
        <f>G25*$K$7+G25-140</f>
        <v>96000</v>
      </c>
      <c r="I25" s="195">
        <f>H25*$K$7+H25-320</f>
        <v>100000</v>
      </c>
      <c r="J25" s="197">
        <f>SUM(G25:I25)</f>
        <v>288000</v>
      </c>
      <c r="K25" s="35">
        <f t="shared" si="5"/>
        <v>288000</v>
      </c>
    </row>
    <row r="26" spans="1:11">
      <c r="A26" s="200"/>
      <c r="B26" s="201" t="s">
        <v>214</v>
      </c>
      <c r="C26" s="195">
        <v>454856.92</v>
      </c>
      <c r="D26" s="195">
        <v>631757.53</v>
      </c>
      <c r="E26" s="195">
        <v>832559.52</v>
      </c>
      <c r="F26" s="195">
        <v>665600</v>
      </c>
      <c r="G26" s="196">
        <v>934000</v>
      </c>
      <c r="H26" s="195">
        <f>G26*$I$5+G26-100+44100</f>
        <v>978000</v>
      </c>
      <c r="I26" s="195">
        <f>H26*$I$5+H26-80+46080</f>
        <v>1024000</v>
      </c>
      <c r="J26" s="197">
        <f>SUM(G26:I26)</f>
        <v>2936000</v>
      </c>
      <c r="K26" s="35">
        <f t="shared" si="5"/>
        <v>2936000</v>
      </c>
    </row>
    <row r="27" spans="1:11">
      <c r="A27" s="200"/>
      <c r="B27" s="201" t="s">
        <v>215</v>
      </c>
      <c r="C27" s="195">
        <v>81095.45</v>
      </c>
      <c r="D27" s="195">
        <v>82829.08</v>
      </c>
      <c r="E27" s="195">
        <v>106384.32000000001</v>
      </c>
      <c r="F27" s="195">
        <v>82500</v>
      </c>
      <c r="G27" s="196">
        <v>75000</v>
      </c>
      <c r="H27" s="195">
        <f>G27*$K$7+G27-375</f>
        <v>78000</v>
      </c>
      <c r="I27" s="195">
        <f>H27*$K$7+H27-510</f>
        <v>81000</v>
      </c>
      <c r="J27" s="197">
        <f t="shared" si="8"/>
        <v>234000</v>
      </c>
      <c r="K27" s="35">
        <f t="shared" si="5"/>
        <v>234000</v>
      </c>
    </row>
    <row r="28" spans="1:11">
      <c r="A28" s="200"/>
      <c r="B28" s="201" t="s">
        <v>216</v>
      </c>
      <c r="C28" s="195">
        <v>125702.19</v>
      </c>
      <c r="D28" s="195">
        <v>130231.08</v>
      </c>
      <c r="E28" s="195">
        <v>139890.38</v>
      </c>
      <c r="F28" s="195">
        <v>136000</v>
      </c>
      <c r="G28" s="196">
        <v>132000</v>
      </c>
      <c r="H28" s="195">
        <f>G28*$K$7+G28+60</f>
        <v>138000</v>
      </c>
      <c r="I28" s="195">
        <f>H28*$K$7+H28-210</f>
        <v>144000</v>
      </c>
      <c r="J28" s="197">
        <f>SUM(G28:I28)</f>
        <v>414000</v>
      </c>
      <c r="K28" s="35">
        <f t="shared" si="5"/>
        <v>414000</v>
      </c>
    </row>
    <row r="29" spans="1:11">
      <c r="A29" s="200"/>
      <c r="B29" s="201" t="s">
        <v>213</v>
      </c>
      <c r="C29" s="195">
        <v>48129.37</v>
      </c>
      <c r="D29" s="195">
        <v>47235.24</v>
      </c>
      <c r="E29" s="195">
        <f>36352.55+9088.09</f>
        <v>45440.639999999999</v>
      </c>
      <c r="F29" s="195">
        <f>48000+12000</f>
        <v>60000</v>
      </c>
      <c r="G29" s="196">
        <v>44000</v>
      </c>
      <c r="H29" s="195">
        <f>G29*$K$7+G29+20</f>
        <v>46000</v>
      </c>
      <c r="I29" s="195">
        <f>H29*$K$7+H29-70</f>
        <v>48000</v>
      </c>
      <c r="J29" s="197">
        <f>SUM(G29:I29)</f>
        <v>138000</v>
      </c>
      <c r="K29" s="35">
        <f t="shared" si="5"/>
        <v>138000</v>
      </c>
    </row>
    <row r="30" spans="1:11">
      <c r="A30" s="200"/>
      <c r="B30" s="201" t="s">
        <v>211</v>
      </c>
      <c r="C30" s="195">
        <v>36782.58</v>
      </c>
      <c r="D30" s="195">
        <v>30736.23</v>
      </c>
      <c r="E30" s="195">
        <v>120897.26</v>
      </c>
      <c r="F30" s="195">
        <v>38000</v>
      </c>
      <c r="G30" s="196">
        <v>150000</v>
      </c>
      <c r="H30" s="195">
        <f>G30*$K$7+G30+250</f>
        <v>157000</v>
      </c>
      <c r="I30" s="195">
        <f>H30*$K$7+H30-65</f>
        <v>164000</v>
      </c>
      <c r="J30" s="197">
        <f>SUM(G30:I30)</f>
        <v>471000</v>
      </c>
      <c r="K30" s="35">
        <f t="shared" si="5"/>
        <v>471000</v>
      </c>
    </row>
    <row r="31" spans="1:11">
      <c r="A31" s="438" t="s">
        <v>217</v>
      </c>
      <c r="B31" s="439"/>
      <c r="C31" s="192">
        <f>SUM(C32:C37)</f>
        <v>5138908.58</v>
      </c>
      <c r="D31" s="192">
        <f>SUM(D32:D37)</f>
        <v>5512166.3300000001</v>
      </c>
      <c r="E31" s="192">
        <f>SUM(E32:E37)</f>
        <v>6226382.2299999995</v>
      </c>
      <c r="F31" s="192">
        <f>SUM(F32:F37)</f>
        <v>6312400</v>
      </c>
      <c r="G31" s="193">
        <f t="shared" ref="G31:H31" si="9">SUM(G32:G37)</f>
        <v>6616000</v>
      </c>
      <c r="H31" s="192">
        <f t="shared" si="9"/>
        <v>6914000</v>
      </c>
      <c r="I31" s="192">
        <f>SUM(I32:I37)</f>
        <v>7219000</v>
      </c>
      <c r="J31" s="197">
        <f t="shared" ref="J31" si="10">SUM(G31:I31)</f>
        <v>20749000</v>
      </c>
      <c r="K31" s="35">
        <f t="shared" si="5"/>
        <v>20749000</v>
      </c>
    </row>
    <row r="32" spans="1:11">
      <c r="A32" s="200"/>
      <c r="B32" s="201" t="s">
        <v>218</v>
      </c>
      <c r="C32" s="195">
        <v>4795473.33</v>
      </c>
      <c r="D32" s="195">
        <v>5129512.78</v>
      </c>
      <c r="E32" s="195">
        <f>4465759.81+1116439.95</f>
        <v>5582199.7599999998</v>
      </c>
      <c r="F32" s="195">
        <f>4720000+1180000</f>
        <v>5900000</v>
      </c>
      <c r="G32" s="196">
        <v>6000000</v>
      </c>
      <c r="H32" s="195">
        <f>G32*$K$7+G32</f>
        <v>6270000</v>
      </c>
      <c r="I32" s="195">
        <f>H32*$K$7+H32-150</f>
        <v>6552000</v>
      </c>
      <c r="J32" s="197">
        <f>SUM(G32:I32)</f>
        <v>18822000</v>
      </c>
      <c r="K32" s="35">
        <f t="shared" si="5"/>
        <v>18822000</v>
      </c>
    </row>
    <row r="33" spans="1:11">
      <c r="A33" s="200"/>
      <c r="B33" s="201" t="s">
        <v>219</v>
      </c>
      <c r="C33" s="195">
        <v>124616.19</v>
      </c>
      <c r="D33" s="195">
        <v>124030.7</v>
      </c>
      <c r="E33" s="195">
        <f>133691.23+33422.82</f>
        <v>167114.05000000002</v>
      </c>
      <c r="F33" s="195">
        <f>144000+36000</f>
        <v>180000</v>
      </c>
      <c r="G33" s="196">
        <v>277000</v>
      </c>
      <c r="H33" s="195">
        <f>G33*$K$7+G33+435+100</f>
        <v>290000</v>
      </c>
      <c r="I33" s="195">
        <f>H33*$K$7+H33-50</f>
        <v>303000</v>
      </c>
      <c r="J33" s="197">
        <f>SUM(G33:I33)</f>
        <v>870000</v>
      </c>
      <c r="K33" s="35">
        <f t="shared" si="5"/>
        <v>870000</v>
      </c>
    </row>
    <row r="34" spans="1:11">
      <c r="A34" s="200"/>
      <c r="B34" s="201" t="s">
        <v>220</v>
      </c>
      <c r="C34" s="195">
        <v>116880.38</v>
      </c>
      <c r="D34" s="195">
        <v>85914.9</v>
      </c>
      <c r="E34" s="195">
        <f>64761.96+16190.53</f>
        <v>80952.490000000005</v>
      </c>
      <c r="F34" s="195">
        <f>22000+88000</f>
        <v>110000</v>
      </c>
      <c r="G34" s="196">
        <v>114000</v>
      </c>
      <c r="H34" s="195">
        <f>G34*$K$7+G34-130</f>
        <v>119000</v>
      </c>
      <c r="I34" s="195">
        <f>H34*$K$7+H34-355</f>
        <v>124000</v>
      </c>
      <c r="J34" s="197">
        <f>SUM(G34:I34)</f>
        <v>357000</v>
      </c>
      <c r="K34" s="35">
        <f t="shared" si="5"/>
        <v>357000</v>
      </c>
    </row>
    <row r="35" spans="1:11">
      <c r="A35" s="200"/>
      <c r="B35" s="201" t="s">
        <v>221</v>
      </c>
      <c r="C35" s="195">
        <v>19748.05</v>
      </c>
      <c r="D35" s="195">
        <v>10487.93</v>
      </c>
      <c r="E35" s="195">
        <v>529.64</v>
      </c>
      <c r="F35" s="195">
        <v>10000</v>
      </c>
      <c r="G35" s="196">
        <v>5000</v>
      </c>
      <c r="H35" s="195">
        <f>G35*$K$7+G35-225</f>
        <v>5000</v>
      </c>
      <c r="I35" s="195">
        <f>H35*$I$5+H35</f>
        <v>5000</v>
      </c>
      <c r="J35" s="197">
        <f>SUM(G35:I35)</f>
        <v>15000</v>
      </c>
      <c r="K35" s="35">
        <f t="shared" si="5"/>
        <v>15000</v>
      </c>
    </row>
    <row r="36" spans="1:11">
      <c r="A36" s="200"/>
      <c r="B36" s="201" t="s">
        <v>222</v>
      </c>
      <c r="C36" s="195">
        <v>82190.63</v>
      </c>
      <c r="D36" s="195">
        <v>110320.02</v>
      </c>
      <c r="E36" s="195">
        <v>395586.29</v>
      </c>
      <c r="F36" s="195">
        <v>112400</v>
      </c>
      <c r="G36" s="196">
        <v>220000</v>
      </c>
      <c r="H36" s="195">
        <f>G36*$K$7+G36+100</f>
        <v>230000</v>
      </c>
      <c r="I36" s="195">
        <f>H36*$I$5+H36-400+5400</f>
        <v>235000</v>
      </c>
      <c r="J36" s="197">
        <f>SUM(G36:I36)</f>
        <v>685000</v>
      </c>
      <c r="K36" s="35">
        <f t="shared" si="5"/>
        <v>685000</v>
      </c>
    </row>
    <row r="37" spans="1:11">
      <c r="A37" s="200"/>
      <c r="B37" s="201" t="s">
        <v>223</v>
      </c>
      <c r="C37" s="195">
        <v>0</v>
      </c>
      <c r="D37" s="195">
        <v>51900</v>
      </c>
      <c r="E37" s="195">
        <v>0</v>
      </c>
      <c r="F37" s="195">
        <v>0</v>
      </c>
      <c r="G37" s="196">
        <v>0</v>
      </c>
      <c r="H37" s="195"/>
      <c r="I37" s="195"/>
      <c r="J37" s="197"/>
      <c r="K37" s="35">
        <f t="shared" si="5"/>
        <v>0</v>
      </c>
    </row>
    <row r="38" spans="1:11">
      <c r="A38" s="440" t="s">
        <v>224</v>
      </c>
      <c r="B38" s="441"/>
      <c r="C38" s="192">
        <f>C39</f>
        <v>1051838.3500000001</v>
      </c>
      <c r="D38" s="192">
        <f>D39</f>
        <v>814292.59</v>
      </c>
      <c r="E38" s="192">
        <f>E39</f>
        <v>981962.2</v>
      </c>
      <c r="F38" s="192">
        <f>F39</f>
        <v>1100000</v>
      </c>
      <c r="G38" s="203">
        <f t="shared" ref="G38:I38" si="11">G39</f>
        <v>1200000</v>
      </c>
      <c r="H38" s="202">
        <f t="shared" si="11"/>
        <v>1254000</v>
      </c>
      <c r="I38" s="202">
        <f t="shared" si="11"/>
        <v>1299000</v>
      </c>
      <c r="J38" s="197">
        <f>SUM(G38:I38)</f>
        <v>3753000</v>
      </c>
      <c r="K38" s="35">
        <f t="shared" si="5"/>
        <v>3753000</v>
      </c>
    </row>
    <row r="39" spans="1:11">
      <c r="A39" s="200"/>
      <c r="B39" s="201" t="s">
        <v>225</v>
      </c>
      <c r="C39" s="195">
        <v>1051838.3500000001</v>
      </c>
      <c r="D39" s="195">
        <v>814292.59</v>
      </c>
      <c r="E39" s="195">
        <v>981962.2</v>
      </c>
      <c r="F39" s="195">
        <v>1100000</v>
      </c>
      <c r="G39" s="196">
        <v>1200000</v>
      </c>
      <c r="H39" s="195">
        <f>G39*$K$7+G39</f>
        <v>1254000</v>
      </c>
      <c r="I39" s="195">
        <f>H39*$I$5+H39-990-10+46000</f>
        <v>1299000</v>
      </c>
      <c r="J39" s="197">
        <f t="shared" ref="J39" si="12">SUM(G39:I39)</f>
        <v>3753000</v>
      </c>
      <c r="K39" s="35">
        <f t="shared" si="5"/>
        <v>3753000</v>
      </c>
    </row>
    <row r="40" spans="1:11">
      <c r="A40" s="262" t="s">
        <v>226</v>
      </c>
      <c r="B40" s="204"/>
      <c r="C40" s="205">
        <v>52508.1</v>
      </c>
      <c r="D40" s="205">
        <v>120250.45</v>
      </c>
      <c r="E40" s="205">
        <v>65712.67</v>
      </c>
      <c r="F40" s="205">
        <v>65000</v>
      </c>
      <c r="G40" s="206">
        <v>110000</v>
      </c>
      <c r="H40" s="205">
        <f>G40*$I$5+G40-400+5400</f>
        <v>115000</v>
      </c>
      <c r="I40" s="205">
        <f>H40*$K$7+H40-175</f>
        <v>120000</v>
      </c>
      <c r="J40" s="197">
        <f>SUM(G40:I40)</f>
        <v>345000</v>
      </c>
      <c r="K40" s="35">
        <f t="shared" si="5"/>
        <v>345000</v>
      </c>
    </row>
    <row r="41" spans="1:11">
      <c r="A41" s="207" t="s">
        <v>139</v>
      </c>
      <c r="B41" s="204"/>
      <c r="C41" s="205">
        <v>86582.61</v>
      </c>
      <c r="D41" s="205">
        <v>46771.97</v>
      </c>
      <c r="E41" s="205">
        <v>38081.89</v>
      </c>
      <c r="F41" s="205">
        <v>27500</v>
      </c>
      <c r="G41" s="206">
        <v>30000</v>
      </c>
      <c r="H41" s="205">
        <f>G41*$K$7+G41-350</f>
        <v>31000</v>
      </c>
      <c r="I41" s="205">
        <f>H41*$K$7+H41-395</f>
        <v>32000</v>
      </c>
      <c r="J41" s="197">
        <f>SUM(G41:I41)</f>
        <v>93000</v>
      </c>
      <c r="K41" s="35">
        <f t="shared" si="5"/>
        <v>93000</v>
      </c>
    </row>
    <row r="42" spans="1:11">
      <c r="A42" s="207" t="s">
        <v>227</v>
      </c>
      <c r="B42" s="204"/>
      <c r="C42" s="205">
        <v>1433708.3</v>
      </c>
      <c r="D42" s="205">
        <v>290969.32</v>
      </c>
      <c r="E42" s="205">
        <v>311531.24</v>
      </c>
      <c r="F42" s="205">
        <v>120000</v>
      </c>
      <c r="G42" s="206">
        <v>203000</v>
      </c>
      <c r="H42" s="205">
        <f>G42*$K$7+G42-135</f>
        <v>212000</v>
      </c>
      <c r="I42" s="205">
        <f>H42*$I$5+H42-550+8550</f>
        <v>220000</v>
      </c>
      <c r="J42" s="197">
        <f>SUM(G42:I42)</f>
        <v>635000</v>
      </c>
      <c r="K42" s="35">
        <f t="shared" si="5"/>
        <v>635000</v>
      </c>
    </row>
    <row r="43" spans="1:11">
      <c r="A43" s="263" t="s">
        <v>228</v>
      </c>
      <c r="B43" s="264" t="s">
        <v>280</v>
      </c>
      <c r="C43" s="205">
        <v>-2343333.17</v>
      </c>
      <c r="D43" s="205">
        <v>-2186735.0699999998</v>
      </c>
      <c r="E43" s="205">
        <f>-55071.07-1124010.47-9088.09-1116439.95-33422.82-16190.53</f>
        <v>-2354222.9299999997</v>
      </c>
      <c r="F43" s="205">
        <f>-50000-1220000-12000-1180000-36000</f>
        <v>-2498000</v>
      </c>
      <c r="G43" s="206">
        <v>-2700000</v>
      </c>
      <c r="H43" s="205">
        <f>G43*$K$7+G43-500</f>
        <v>-2822000</v>
      </c>
      <c r="I43" s="205">
        <f>H43*$K$7+H43-10</f>
        <v>-2949000</v>
      </c>
      <c r="J43" s="208">
        <f>SUM(G43:I43)+0.01</f>
        <v>-8470999.9900000002</v>
      </c>
      <c r="K43" s="35">
        <f t="shared" si="5"/>
        <v>-8471000</v>
      </c>
    </row>
    <row r="44" spans="1:11">
      <c r="A44" s="186"/>
      <c r="B44" s="186" t="s">
        <v>229</v>
      </c>
      <c r="C44" s="209">
        <f>C10+C14+C16+C21+C41+C42+C43</f>
        <v>12718658.07</v>
      </c>
      <c r="D44" s="209">
        <f>D10+D14+D16+D21+D42+D43+D41</f>
        <v>11973712.1</v>
      </c>
      <c r="E44" s="209">
        <f>E10+E14+E16+E21+E42+E43+E41</f>
        <v>13601666.24</v>
      </c>
      <c r="F44" s="209">
        <f>F10+F14+F16+F21+F42+F43+F41</f>
        <v>13300000</v>
      </c>
      <c r="G44" s="209">
        <f>G10+G14+G16+G21+G42+G43+G41+G40</f>
        <v>15000000</v>
      </c>
      <c r="H44" s="209">
        <f>H10+H14+H16+H21+H42+H43+H41+H40</f>
        <v>15640000</v>
      </c>
      <c r="I44" s="209">
        <f>I10+I14+I16+I21+I42+I43+I41+I40</f>
        <v>16323000</v>
      </c>
      <c r="J44" s="210">
        <f>SUM(G44:I44)</f>
        <v>46963000</v>
      </c>
      <c r="K44" s="211">
        <f t="shared" si="5"/>
        <v>46963000</v>
      </c>
    </row>
    <row r="45" spans="1:11" ht="13.5" thickBot="1">
      <c r="A45" s="36"/>
      <c r="B45" s="36"/>
      <c r="C45" s="36"/>
      <c r="D45" s="36"/>
      <c r="E45" s="36"/>
      <c r="F45" s="36"/>
      <c r="G45" s="36"/>
      <c r="H45" s="36"/>
      <c r="I45" s="36"/>
      <c r="J45" s="36"/>
      <c r="K45" s="36"/>
    </row>
    <row r="46" spans="1:11" ht="13.5" thickBot="1">
      <c r="A46" s="36"/>
      <c r="B46" s="225"/>
      <c r="C46" s="435" t="s">
        <v>281</v>
      </c>
      <c r="D46" s="436"/>
      <c r="E46" s="437"/>
      <c r="F46" s="435" t="s">
        <v>282</v>
      </c>
      <c r="G46" s="436"/>
      <c r="H46" s="436"/>
      <c r="I46" s="437"/>
      <c r="J46" s="36"/>
      <c r="K46" s="36"/>
    </row>
    <row r="47" spans="1:11" ht="13.5" thickBot="1">
      <c r="A47" s="36"/>
      <c r="B47" s="212"/>
      <c r="C47" s="421">
        <v>2011</v>
      </c>
      <c r="D47" s="421">
        <v>2012</v>
      </c>
      <c r="E47" s="213">
        <v>2013</v>
      </c>
      <c r="F47" s="214">
        <v>2014</v>
      </c>
      <c r="G47" s="215" t="s">
        <v>399</v>
      </c>
      <c r="H47" s="216" t="s">
        <v>431</v>
      </c>
      <c r="I47" s="217" t="s">
        <v>488</v>
      </c>
      <c r="J47" s="36"/>
      <c r="K47" s="36"/>
    </row>
    <row r="48" spans="1:11" ht="13.5" thickBot="1">
      <c r="A48" s="36"/>
      <c r="B48" s="218" t="s">
        <v>381</v>
      </c>
      <c r="C48" s="219">
        <f t="shared" ref="C48" si="13">C49+C50</f>
        <v>11232501</v>
      </c>
      <c r="D48" s="219">
        <f t="shared" ref="D48:E48" si="14">D49+D50</f>
        <v>13056952</v>
      </c>
      <c r="E48" s="219">
        <f t="shared" si="14"/>
        <v>14916570</v>
      </c>
      <c r="F48" s="219">
        <f t="shared" ref="F48" si="15">F49+F50</f>
        <v>13167000</v>
      </c>
      <c r="G48" s="220">
        <f t="shared" ref="G48:I48" si="16">G49+G50</f>
        <v>14850000</v>
      </c>
      <c r="H48" s="220">
        <f t="shared" si="16"/>
        <v>15483600</v>
      </c>
      <c r="I48" s="220">
        <f t="shared" si="16"/>
        <v>16159770</v>
      </c>
      <c r="J48" s="36"/>
      <c r="K48" s="36"/>
    </row>
    <row r="49" spans="1:13" ht="13.5" thickBot="1">
      <c r="A49" s="36"/>
      <c r="B49" s="221" t="s">
        <v>283</v>
      </c>
      <c r="C49" s="222">
        <v>8149092</v>
      </c>
      <c r="D49" s="222">
        <v>9591495</v>
      </c>
      <c r="E49" s="222">
        <v>12576190</v>
      </c>
      <c r="F49" s="222">
        <v>10697320</v>
      </c>
      <c r="G49" s="222">
        <f>G44*0.73</f>
        <v>10950000</v>
      </c>
      <c r="H49" s="222">
        <f>H44*0.73</f>
        <v>11417200</v>
      </c>
      <c r="I49" s="222">
        <f>I44*0.73</f>
        <v>11915790</v>
      </c>
      <c r="J49" s="36"/>
      <c r="K49" s="36"/>
    </row>
    <row r="50" spans="1:13" ht="13.5" thickBot="1">
      <c r="A50" s="36"/>
      <c r="B50" s="223" t="s">
        <v>284</v>
      </c>
      <c r="C50" s="224">
        <v>3083409</v>
      </c>
      <c r="D50" s="224">
        <v>3465457</v>
      </c>
      <c r="E50" s="224">
        <v>2340380</v>
      </c>
      <c r="F50" s="222">
        <v>2469680</v>
      </c>
      <c r="G50" s="222">
        <f>G44*0.26</f>
        <v>3900000</v>
      </c>
      <c r="H50" s="222">
        <f>H44*0.26</f>
        <v>4066400</v>
      </c>
      <c r="I50" s="222">
        <f>I44*0.26</f>
        <v>4243980</v>
      </c>
      <c r="J50" s="36"/>
      <c r="K50" s="36"/>
    </row>
    <row r="51" spans="1:13">
      <c r="A51" s="36"/>
      <c r="B51" s="36"/>
      <c r="C51" s="36"/>
      <c r="D51" s="36"/>
      <c r="E51" s="36"/>
      <c r="F51" s="36"/>
      <c r="G51" s="36"/>
      <c r="H51" s="36"/>
      <c r="I51" s="36"/>
      <c r="J51" s="36"/>
      <c r="K51" s="36"/>
    </row>
    <row r="52" spans="1:13">
      <c r="A52" s="36" t="s">
        <v>230</v>
      </c>
      <c r="B52" s="36"/>
      <c r="C52" s="37"/>
      <c r="D52" s="37"/>
      <c r="E52" s="37"/>
      <c r="F52" s="36"/>
      <c r="G52" s="36"/>
      <c r="H52" s="36"/>
      <c r="I52" s="36"/>
      <c r="J52" s="36"/>
      <c r="K52" s="36"/>
    </row>
    <row r="53" spans="1:13">
      <c r="A53" s="36"/>
      <c r="B53" s="36"/>
      <c r="C53" s="36"/>
      <c r="D53" s="36"/>
      <c r="E53" s="36"/>
      <c r="F53" s="36"/>
      <c r="G53" s="36"/>
      <c r="H53" s="36"/>
      <c r="I53" s="36"/>
      <c r="J53" s="36"/>
      <c r="K53" s="36"/>
    </row>
    <row r="54" spans="1:13">
      <c r="B54" s="38" t="s">
        <v>412</v>
      </c>
    </row>
    <row r="55" spans="1:13">
      <c r="B55" s="25" t="s">
        <v>413</v>
      </c>
    </row>
    <row r="56" spans="1:13" ht="86.25" customHeight="1">
      <c r="B56" s="451" t="s">
        <v>500</v>
      </c>
      <c r="C56" s="451"/>
      <c r="D56" s="451"/>
      <c r="E56" s="451"/>
      <c r="F56" s="451"/>
      <c r="G56" s="451"/>
      <c r="H56" s="451"/>
    </row>
    <row r="57" spans="1:13">
      <c r="B57" s="39" t="s">
        <v>232</v>
      </c>
      <c r="C57" s="39"/>
      <c r="D57" s="39"/>
      <c r="E57" s="39"/>
      <c r="F57" s="39"/>
      <c r="G57" s="39"/>
      <c r="H57" s="39"/>
    </row>
    <row r="58" spans="1:13">
      <c r="B58" s="38" t="s">
        <v>502</v>
      </c>
    </row>
    <row r="59" spans="1:13">
      <c r="B59" s="38" t="s">
        <v>501</v>
      </c>
    </row>
    <row r="60" spans="1:13">
      <c r="B60" s="38" t="s">
        <v>233</v>
      </c>
    </row>
    <row r="61" spans="1:13" ht="24.75" customHeight="1">
      <c r="B61" s="451" t="s">
        <v>537</v>
      </c>
      <c r="C61" s="451"/>
      <c r="D61" s="451"/>
      <c r="E61" s="451"/>
      <c r="F61" s="451"/>
      <c r="G61" s="451"/>
      <c r="H61" s="451"/>
      <c r="I61" s="451"/>
      <c r="J61" s="451"/>
      <c r="K61" s="451"/>
      <c r="L61" s="451"/>
      <c r="M61" s="451"/>
    </row>
    <row r="63" spans="1:13" ht="16.5" customHeight="1" thickBot="1">
      <c r="B63" s="271" t="s">
        <v>418</v>
      </c>
      <c r="C63" s="21"/>
      <c r="D63" s="22"/>
      <c r="E63" s="22"/>
      <c r="F63" s="22"/>
      <c r="G63" s="22"/>
      <c r="H63" s="22"/>
      <c r="I63" s="22"/>
      <c r="J63" s="22"/>
      <c r="K63" s="22"/>
    </row>
    <row r="64" spans="1:13" ht="16.5" customHeight="1" thickTop="1">
      <c r="B64" s="280" t="s">
        <v>414</v>
      </c>
      <c r="C64" s="280" t="s">
        <v>415</v>
      </c>
      <c r="D64" s="280">
        <v>2009</v>
      </c>
      <c r="E64" s="280">
        <v>2010</v>
      </c>
      <c r="F64" s="280">
        <v>2011</v>
      </c>
      <c r="G64" s="280">
        <v>2012</v>
      </c>
      <c r="H64" s="22"/>
      <c r="I64" s="22"/>
      <c r="J64" s="22"/>
      <c r="K64" s="22"/>
    </row>
    <row r="65" spans="2:11" ht="16.5" customHeight="1" thickBot="1">
      <c r="B65" s="272" t="s">
        <v>416</v>
      </c>
      <c r="C65" s="273">
        <v>471</v>
      </c>
      <c r="D65" s="278">
        <v>125125084.04000001</v>
      </c>
      <c r="E65" s="279">
        <v>120904132.79000001</v>
      </c>
      <c r="F65" s="279">
        <v>146310711.13999999</v>
      </c>
      <c r="G65" s="279">
        <v>141420525.16</v>
      </c>
      <c r="H65" s="22"/>
      <c r="I65" s="22"/>
      <c r="J65" s="22"/>
      <c r="K65" s="22"/>
    </row>
    <row r="66" spans="2:11" ht="16.5" customHeight="1" thickTop="1">
      <c r="B66" s="274" t="s">
        <v>414</v>
      </c>
      <c r="C66" s="275" t="s">
        <v>415</v>
      </c>
      <c r="D66" s="276">
        <v>2009</v>
      </c>
      <c r="E66" s="276">
        <v>2010</v>
      </c>
      <c r="F66" s="276">
        <v>2011</v>
      </c>
      <c r="G66" s="276">
        <v>2012</v>
      </c>
      <c r="H66" s="276">
        <v>2013</v>
      </c>
      <c r="I66" s="276">
        <v>2014</v>
      </c>
      <c r="J66" s="22"/>
      <c r="K66" s="22"/>
    </row>
    <row r="67" spans="2:11">
      <c r="B67" s="277" t="s">
        <v>416</v>
      </c>
      <c r="C67" s="273">
        <v>471</v>
      </c>
      <c r="D67" s="273">
        <v>7.9848000000000002E-2</v>
      </c>
      <c r="E67" s="273">
        <v>9.0467000000000006E-2</v>
      </c>
      <c r="F67" s="273">
        <v>9.8280000000000006E-2</v>
      </c>
      <c r="G67" s="273">
        <v>9.6351000000000006E-2</v>
      </c>
      <c r="H67" s="273">
        <v>9.2799000000000006E-2</v>
      </c>
      <c r="I67" s="273">
        <v>9.0601000000000001E-2</v>
      </c>
    </row>
    <row r="68" spans="2:11">
      <c r="B68" s="179"/>
    </row>
    <row r="69" spans="2:11" ht="24.75" customHeight="1">
      <c r="B69" s="452" t="s">
        <v>492</v>
      </c>
      <c r="C69" s="452"/>
      <c r="D69" s="452"/>
      <c r="E69" s="452"/>
      <c r="F69" s="452"/>
      <c r="G69" s="452"/>
      <c r="H69" s="452"/>
      <c r="I69" s="452"/>
      <c r="J69" s="452"/>
      <c r="K69" s="452"/>
    </row>
    <row r="70" spans="2:11">
      <c r="B70" s="168"/>
      <c r="C70" s="450"/>
      <c r="D70" s="450"/>
    </row>
    <row r="71" spans="2:11">
      <c r="B71" s="281" t="s">
        <v>419</v>
      </c>
      <c r="C71" s="450"/>
      <c r="D71" s="450"/>
      <c r="E71" s="231" t="s">
        <v>421</v>
      </c>
      <c r="H71" s="231" t="s">
        <v>484</v>
      </c>
    </row>
    <row r="72" spans="2:11">
      <c r="B72" s="282"/>
      <c r="E72" s="145"/>
      <c r="H72" s="145"/>
    </row>
    <row r="73" spans="2:11">
      <c r="B73" s="282" t="s">
        <v>420</v>
      </c>
      <c r="E73" s="145" t="s">
        <v>422</v>
      </c>
      <c r="H73" s="145" t="s">
        <v>427</v>
      </c>
    </row>
    <row r="74" spans="2:11">
      <c r="B74" s="282" t="s">
        <v>513</v>
      </c>
      <c r="E74" s="145" t="s">
        <v>423</v>
      </c>
      <c r="H74" s="145" t="s">
        <v>428</v>
      </c>
    </row>
    <row r="75" spans="2:11">
      <c r="B75" s="282" t="s">
        <v>514</v>
      </c>
      <c r="E75" s="145" t="s">
        <v>520</v>
      </c>
      <c r="H75" s="145" t="s">
        <v>521</v>
      </c>
    </row>
    <row r="76" spans="2:11">
      <c r="B76" s="145" t="s">
        <v>515</v>
      </c>
      <c r="E76" s="145" t="s">
        <v>425</v>
      </c>
      <c r="H76" s="145" t="s">
        <v>425</v>
      </c>
    </row>
    <row r="77" spans="2:11">
      <c r="B77" s="25" t="s">
        <v>517</v>
      </c>
      <c r="E77" s="25" t="s">
        <v>486</v>
      </c>
      <c r="H77" s="145" t="s">
        <v>485</v>
      </c>
    </row>
    <row r="78" spans="2:11">
      <c r="B78" s="25" t="s">
        <v>518</v>
      </c>
      <c r="C78" s="21"/>
      <c r="D78" s="21"/>
    </row>
    <row r="79" spans="2:11">
      <c r="B79" s="25" t="s">
        <v>519</v>
      </c>
    </row>
    <row r="80" spans="2:11">
      <c r="B80" s="25" t="s">
        <v>516</v>
      </c>
    </row>
    <row r="82" spans="2:7">
      <c r="B82" s="25" t="s">
        <v>430</v>
      </c>
    </row>
    <row r="83" spans="2:7">
      <c r="B83" s="25" t="s">
        <v>237</v>
      </c>
    </row>
    <row r="84" spans="2:7">
      <c r="B84" s="25" t="s">
        <v>490</v>
      </c>
    </row>
    <row r="85" spans="2:7">
      <c r="B85" s="25" t="s">
        <v>273</v>
      </c>
    </row>
    <row r="86" spans="2:7" ht="10.5" customHeight="1"/>
    <row r="87" spans="2:7" ht="15.75" customHeight="1">
      <c r="B87" s="25" t="s">
        <v>489</v>
      </c>
    </row>
    <row r="90" spans="2:7">
      <c r="B90" s="25" t="s">
        <v>432</v>
      </c>
      <c r="D90" s="25" t="s">
        <v>235</v>
      </c>
      <c r="G90" s="27" t="s">
        <v>429</v>
      </c>
    </row>
    <row r="91" spans="2:7">
      <c r="B91" s="25" t="s">
        <v>234</v>
      </c>
      <c r="D91" s="25" t="s">
        <v>236</v>
      </c>
      <c r="G91" s="27" t="s">
        <v>240</v>
      </c>
    </row>
    <row r="93" spans="2:7">
      <c r="B93" s="40"/>
    </row>
  </sheetData>
  <mergeCells count="20">
    <mergeCell ref="C71:D71"/>
    <mergeCell ref="B61:M61"/>
    <mergeCell ref="C70:D70"/>
    <mergeCell ref="B56:H56"/>
    <mergeCell ref="B69:K69"/>
    <mergeCell ref="A8:B9"/>
    <mergeCell ref="A1:J1"/>
    <mergeCell ref="A2:H2"/>
    <mergeCell ref="A3:J3"/>
    <mergeCell ref="A5:J5"/>
    <mergeCell ref="H7:I7"/>
    <mergeCell ref="C46:E46"/>
    <mergeCell ref="F46:I46"/>
    <mergeCell ref="A10:B10"/>
    <mergeCell ref="A14:B14"/>
    <mergeCell ref="A16:B16"/>
    <mergeCell ref="A21:B21"/>
    <mergeCell ref="A22:B22"/>
    <mergeCell ref="A31:B31"/>
    <mergeCell ref="A38:B38"/>
  </mergeCells>
  <phoneticPr fontId="6" type="noConversion"/>
  <pageMargins left="0.78740157499999996" right="0.78740157499999996" top="0.984251969" bottom="0.984251969" header="0.49212598499999999" footer="0.49212598499999999"/>
  <pageSetup paperSize="9" scale="70" orientation="landscape" r:id="rId1"/>
  <headerFooter alignWithMargins="0">
    <oddHeader>&amp;L&amp;12ESTADO DO RIO GRANDE DO SUL
PREFEITURA MUNICIPAL DE BOA VISTA DO CADEADO</oddHeader>
  </headerFooter>
  <drawing r:id="rId2"/>
  <legacyDrawing r:id="rId3"/>
</worksheet>
</file>

<file path=xl/worksheets/sheet10.xml><?xml version="1.0" encoding="utf-8"?>
<worksheet xmlns="http://schemas.openxmlformats.org/spreadsheetml/2006/main" xmlns:r="http://schemas.openxmlformats.org/officeDocument/2006/relationships">
  <sheetPr codeName="Plan25"/>
  <dimension ref="A2:I46"/>
  <sheetViews>
    <sheetView workbookViewId="0">
      <selection activeCell="B80" sqref="B80"/>
    </sheetView>
  </sheetViews>
  <sheetFormatPr defaultRowHeight="11.25" customHeight="1"/>
  <cols>
    <col min="1" max="1" width="22.42578125" style="57" customWidth="1"/>
    <col min="2" max="2" width="21" style="57" customWidth="1"/>
    <col min="3" max="3" width="15.140625" style="57" customWidth="1"/>
    <col min="4" max="4" width="16.140625" style="57" customWidth="1"/>
    <col min="5" max="5" width="16.42578125" style="57" customWidth="1"/>
    <col min="6" max="6" width="17.5703125" style="57" customWidth="1"/>
    <col min="7" max="7" width="20.28515625" style="57" customWidth="1"/>
    <col min="8" max="16384" width="9.140625" style="57"/>
  </cols>
  <sheetData>
    <row r="2" spans="1:9" ht="11.25" customHeight="1">
      <c r="A2" s="134"/>
      <c r="B2" s="134"/>
      <c r="C2" s="134"/>
      <c r="D2" s="134"/>
      <c r="E2" s="134"/>
      <c r="F2" s="134"/>
    </row>
    <row r="3" spans="1:9" ht="11.25" customHeight="1">
      <c r="A3" s="594" t="s">
        <v>68</v>
      </c>
      <c r="B3" s="594"/>
      <c r="C3" s="594"/>
      <c r="D3" s="594"/>
      <c r="E3" s="594"/>
      <c r="F3" s="594"/>
      <c r="G3" s="58"/>
      <c r="H3" s="58"/>
      <c r="I3" s="58"/>
    </row>
    <row r="4" spans="1:9" ht="11.25" customHeight="1">
      <c r="A4" s="594" t="s">
        <v>69</v>
      </c>
      <c r="B4" s="594"/>
      <c r="C4" s="594"/>
      <c r="D4" s="594"/>
      <c r="E4" s="594"/>
      <c r="F4" s="594"/>
      <c r="G4" s="58"/>
      <c r="H4" s="58"/>
      <c r="I4" s="58"/>
    </row>
    <row r="5" spans="1:9" ht="11.25" customHeight="1">
      <c r="A5" s="594" t="s">
        <v>171</v>
      </c>
      <c r="B5" s="594"/>
      <c r="C5" s="594"/>
      <c r="D5" s="594"/>
      <c r="E5" s="594"/>
      <c r="F5" s="594"/>
      <c r="G5" s="58"/>
      <c r="H5" s="58"/>
      <c r="I5" s="58"/>
    </row>
    <row r="6" spans="1:9" ht="11.25" customHeight="1">
      <c r="A6" s="594" t="s">
        <v>277</v>
      </c>
      <c r="B6" s="594"/>
      <c r="C6" s="594"/>
      <c r="D6" s="594"/>
      <c r="E6" s="594"/>
      <c r="F6" s="594"/>
      <c r="G6" s="58"/>
      <c r="H6" s="58"/>
      <c r="I6" s="58"/>
    </row>
    <row r="7" spans="1:9" ht="11.25" customHeight="1">
      <c r="A7" s="595">
        <v>2015</v>
      </c>
      <c r="B7" s="594"/>
      <c r="C7" s="594"/>
      <c r="D7" s="594"/>
      <c r="E7" s="594"/>
      <c r="F7" s="594"/>
      <c r="G7" s="58"/>
      <c r="H7" s="58"/>
      <c r="I7" s="58"/>
    </row>
    <row r="8" spans="1:9" ht="11.25" customHeight="1">
      <c r="A8" s="58"/>
      <c r="B8" s="58"/>
      <c r="C8" s="58"/>
      <c r="D8" s="58"/>
      <c r="E8" s="58"/>
      <c r="F8" s="58"/>
      <c r="G8" s="58"/>
      <c r="H8" s="58"/>
      <c r="I8" s="58"/>
    </row>
    <row r="9" spans="1:9" ht="11.25" customHeight="1">
      <c r="A9" s="134"/>
      <c r="B9" s="134"/>
      <c r="C9" s="134"/>
      <c r="D9" s="134"/>
      <c r="E9" s="134"/>
      <c r="F9" s="134"/>
    </row>
    <row r="10" spans="1:9" ht="11.25" customHeight="1">
      <c r="A10" s="135" t="s">
        <v>157</v>
      </c>
      <c r="B10" s="136"/>
      <c r="C10" s="136"/>
      <c r="D10" s="136"/>
      <c r="E10" s="136"/>
      <c r="F10" s="137"/>
      <c r="G10" s="138">
        <v>1</v>
      </c>
    </row>
    <row r="11" spans="1:9" ht="11.25" customHeight="1">
      <c r="A11" s="598" t="s">
        <v>154</v>
      </c>
      <c r="B11" s="591" t="s">
        <v>155</v>
      </c>
      <c r="C11" s="601" t="s">
        <v>156</v>
      </c>
      <c r="D11" s="591" t="s">
        <v>99</v>
      </c>
      <c r="E11" s="604"/>
      <c r="F11" s="598"/>
      <c r="G11" s="591" t="s">
        <v>100</v>
      </c>
    </row>
    <row r="12" spans="1:9" ht="11.25" customHeight="1">
      <c r="A12" s="599"/>
      <c r="B12" s="592"/>
      <c r="C12" s="602"/>
      <c r="D12" s="593"/>
      <c r="E12" s="605"/>
      <c r="F12" s="600"/>
      <c r="G12" s="592"/>
    </row>
    <row r="13" spans="1:9" ht="15" customHeight="1">
      <c r="A13" s="600"/>
      <c r="B13" s="593"/>
      <c r="C13" s="603"/>
      <c r="D13" s="139">
        <v>2015</v>
      </c>
      <c r="E13" s="139">
        <v>2016</v>
      </c>
      <c r="F13" s="139">
        <v>2017</v>
      </c>
      <c r="G13" s="593"/>
    </row>
    <row r="14" spans="1:9" ht="11.25" customHeight="1">
      <c r="A14" s="61"/>
      <c r="B14" s="61"/>
      <c r="C14" s="61"/>
      <c r="D14" s="61"/>
      <c r="E14" s="61"/>
      <c r="F14" s="61"/>
      <c r="G14" s="140"/>
    </row>
    <row r="15" spans="1:9" ht="11.25" customHeight="1">
      <c r="A15" s="61" t="s">
        <v>248</v>
      </c>
      <c r="B15" s="61" t="s">
        <v>249</v>
      </c>
      <c r="C15" s="61" t="s">
        <v>250</v>
      </c>
      <c r="D15" s="143">
        <v>3000</v>
      </c>
      <c r="E15" s="143">
        <f>D15*1.045</f>
        <v>3135</v>
      </c>
      <c r="F15" s="143">
        <f>E15*1.045</f>
        <v>3276.0749999999998</v>
      </c>
      <c r="G15" s="141" t="s">
        <v>251</v>
      </c>
    </row>
    <row r="16" spans="1:9" ht="11.25" customHeight="1">
      <c r="A16" s="61"/>
      <c r="B16" s="61"/>
      <c r="C16" s="61"/>
      <c r="D16" s="143"/>
      <c r="E16" s="143"/>
      <c r="F16" s="143"/>
      <c r="G16" s="141"/>
    </row>
    <row r="17" spans="1:7" ht="11.25" customHeight="1">
      <c r="A17" s="61"/>
      <c r="B17" s="61"/>
      <c r="C17" s="61"/>
      <c r="D17" s="143"/>
      <c r="E17" s="143"/>
      <c r="F17" s="143"/>
      <c r="G17" s="141"/>
    </row>
    <row r="18" spans="1:7" ht="11.25" customHeight="1">
      <c r="A18" s="61"/>
      <c r="B18" s="61"/>
      <c r="C18" s="61"/>
      <c r="D18" s="143"/>
      <c r="E18" s="143"/>
      <c r="F18" s="143"/>
      <c r="G18" s="141"/>
    </row>
    <row r="19" spans="1:7" ht="11.25" customHeight="1">
      <c r="A19" s="61"/>
      <c r="B19" s="61"/>
      <c r="C19" s="61"/>
      <c r="D19" s="143"/>
      <c r="E19" s="143"/>
      <c r="F19" s="143"/>
      <c r="G19" s="141"/>
    </row>
    <row r="20" spans="1:7" ht="11.25" customHeight="1">
      <c r="A20" s="61"/>
      <c r="B20" s="61"/>
      <c r="C20" s="61"/>
      <c r="D20" s="143"/>
      <c r="E20" s="143"/>
      <c r="F20" s="143"/>
      <c r="G20" s="141"/>
    </row>
    <row r="21" spans="1:7" ht="11.25" customHeight="1">
      <c r="A21" s="61"/>
      <c r="B21" s="61"/>
      <c r="C21" s="61"/>
      <c r="D21" s="143"/>
      <c r="E21" s="143"/>
      <c r="F21" s="143"/>
      <c r="G21" s="141"/>
    </row>
    <row r="22" spans="1:7" ht="11.25" customHeight="1">
      <c r="A22" s="61"/>
      <c r="B22" s="61"/>
      <c r="C22" s="61"/>
      <c r="D22" s="143"/>
      <c r="E22" s="143"/>
      <c r="F22" s="143"/>
      <c r="G22" s="141"/>
    </row>
    <row r="23" spans="1:7" ht="11.25" customHeight="1">
      <c r="A23" s="61"/>
      <c r="B23" s="61"/>
      <c r="C23" s="61"/>
      <c r="D23" s="143"/>
      <c r="E23" s="143"/>
      <c r="F23" s="143"/>
      <c r="G23" s="141"/>
    </row>
    <row r="24" spans="1:7" ht="11.25" customHeight="1">
      <c r="A24" s="61"/>
      <c r="B24" s="61"/>
      <c r="C24" s="61"/>
      <c r="D24" s="143"/>
      <c r="E24" s="143"/>
      <c r="F24" s="143"/>
      <c r="G24" s="141"/>
    </row>
    <row r="25" spans="1:7" ht="11.25" customHeight="1">
      <c r="A25" s="61"/>
      <c r="B25" s="61"/>
      <c r="C25" s="61"/>
      <c r="D25" s="143"/>
      <c r="E25" s="143"/>
      <c r="F25" s="143"/>
      <c r="G25" s="141"/>
    </row>
    <row r="26" spans="1:7" ht="11.25" customHeight="1">
      <c r="A26" s="61"/>
      <c r="B26" s="61"/>
      <c r="C26" s="61"/>
      <c r="D26" s="143"/>
      <c r="E26" s="143"/>
      <c r="F26" s="143"/>
      <c r="G26" s="141"/>
    </row>
    <row r="27" spans="1:7" ht="11.25" customHeight="1">
      <c r="A27" s="61"/>
      <c r="B27" s="61"/>
      <c r="C27" s="61"/>
      <c r="D27" s="143"/>
      <c r="E27" s="143"/>
      <c r="F27" s="143"/>
      <c r="G27" s="141"/>
    </row>
    <row r="28" spans="1:7" ht="11.25" customHeight="1">
      <c r="A28" s="61"/>
      <c r="B28" s="61"/>
      <c r="C28" s="61"/>
      <c r="D28" s="143"/>
      <c r="E28" s="143"/>
      <c r="F28" s="143"/>
      <c r="G28" s="141"/>
    </row>
    <row r="29" spans="1:7" ht="11.25" customHeight="1">
      <c r="A29" s="61"/>
      <c r="B29" s="61"/>
      <c r="C29" s="61"/>
      <c r="D29" s="143"/>
      <c r="E29" s="143"/>
      <c r="F29" s="143"/>
      <c r="G29" s="141"/>
    </row>
    <row r="30" spans="1:7" ht="11.25" customHeight="1">
      <c r="A30" s="61"/>
      <c r="B30" s="61"/>
      <c r="C30" s="61"/>
      <c r="D30" s="143"/>
      <c r="E30" s="143"/>
      <c r="F30" s="143"/>
      <c r="G30" s="141"/>
    </row>
    <row r="31" spans="1:7" ht="11.25" customHeight="1">
      <c r="A31" s="61"/>
      <c r="B31" s="61"/>
      <c r="C31" s="61"/>
      <c r="D31" s="143"/>
      <c r="E31" s="143"/>
      <c r="F31" s="143"/>
      <c r="G31" s="141"/>
    </row>
    <row r="32" spans="1:7" ht="11.25" customHeight="1">
      <c r="A32" s="62"/>
      <c r="B32" s="62"/>
      <c r="C32" s="62"/>
      <c r="D32" s="144"/>
      <c r="E32" s="144"/>
      <c r="F32" s="144"/>
      <c r="G32" s="142"/>
    </row>
    <row r="33" spans="1:9" ht="11.25" customHeight="1">
      <c r="A33" s="596" t="s">
        <v>63</v>
      </c>
      <c r="B33" s="596"/>
      <c r="C33" s="597"/>
      <c r="D33" s="144">
        <f>D15</f>
        <v>3000</v>
      </c>
      <c r="E33" s="144">
        <f>E15</f>
        <v>3135</v>
      </c>
      <c r="F33" s="144">
        <f>F15</f>
        <v>3276.0749999999998</v>
      </c>
      <c r="G33" s="142" t="s">
        <v>101</v>
      </c>
    </row>
    <row r="34" spans="1:9" ht="11.25" customHeight="1">
      <c r="A34" s="63" t="s">
        <v>252</v>
      </c>
      <c r="B34" s="63"/>
      <c r="C34" s="63"/>
      <c r="D34" s="63"/>
      <c r="E34" s="63"/>
      <c r="F34" s="63"/>
      <c r="G34" s="63"/>
    </row>
    <row r="35" spans="1:9" ht="11.25" customHeight="1">
      <c r="A35" s="27"/>
      <c r="B35" s="27"/>
      <c r="C35" s="27"/>
      <c r="D35" s="27"/>
      <c r="E35" s="27"/>
      <c r="F35" s="27"/>
      <c r="G35" s="25"/>
      <c r="H35" s="25"/>
      <c r="I35"/>
    </row>
    <row r="36" spans="1:9" ht="11.25" customHeight="1">
      <c r="A36" s="27" t="s">
        <v>253</v>
      </c>
      <c r="B36" s="27"/>
      <c r="C36" s="27"/>
      <c r="D36" s="27"/>
      <c r="E36" s="27"/>
      <c r="F36" s="27"/>
      <c r="G36" s="25"/>
      <c r="H36" s="25"/>
      <c r="I36"/>
    </row>
    <row r="37" spans="1:9" ht="11.25" customHeight="1">
      <c r="A37" s="27"/>
      <c r="B37" s="27"/>
      <c r="C37" s="27"/>
      <c r="D37" s="27"/>
      <c r="E37" s="27"/>
      <c r="F37" s="27"/>
      <c r="G37" s="25"/>
      <c r="H37" s="25"/>
      <c r="I37"/>
    </row>
    <row r="38" spans="1:9" ht="11.25" customHeight="1">
      <c r="A38" s="25" t="s">
        <v>497</v>
      </c>
      <c r="B38" s="27"/>
      <c r="C38" s="28"/>
      <c r="D38" s="28"/>
      <c r="E38" s="8"/>
      <c r="F38" s="25"/>
      <c r="G38" s="25"/>
      <c r="H38" s="25"/>
      <c r="I38"/>
    </row>
    <row r="39" spans="1:9" ht="11.25" customHeight="1">
      <c r="A39" s="25"/>
      <c r="B39" s="27"/>
      <c r="C39" s="28"/>
      <c r="D39" s="29"/>
      <c r="E39" s="8"/>
      <c r="F39" s="25"/>
      <c r="G39" s="25"/>
      <c r="H39" s="25"/>
      <c r="I39"/>
    </row>
    <row r="40" spans="1:9" ht="11.25" customHeight="1">
      <c r="A40" s="25"/>
      <c r="B40" s="27"/>
      <c r="C40" s="28"/>
      <c r="D40" s="29"/>
      <c r="E40" s="8"/>
      <c r="F40" s="25"/>
      <c r="G40" s="25"/>
      <c r="H40" s="25"/>
      <c r="I40"/>
    </row>
    <row r="41" spans="1:9" ht="11.25" customHeight="1">
      <c r="A41" s="25"/>
      <c r="B41" s="27"/>
      <c r="C41" s="28"/>
      <c r="D41" s="29"/>
      <c r="E41" s="8"/>
      <c r="F41" s="28"/>
      <c r="G41" s="25"/>
      <c r="H41" s="25"/>
      <c r="I41"/>
    </row>
    <row r="42" spans="1:9" ht="11.25" customHeight="1">
      <c r="A42" s="25" t="s">
        <v>433</v>
      </c>
      <c r="B42"/>
      <c r="C42" s="28"/>
      <c r="D42" s="27" t="s">
        <v>434</v>
      </c>
      <c r="E42" s="8"/>
      <c r="F42" s="30"/>
      <c r="G42" s="25"/>
      <c r="H42" s="25"/>
      <c r="I42"/>
    </row>
    <row r="43" spans="1:9" ht="11.25" customHeight="1">
      <c r="A43" s="25" t="s">
        <v>239</v>
      </c>
      <c r="B43"/>
      <c r="C43" s="30"/>
      <c r="D43" s="27" t="s">
        <v>240</v>
      </c>
      <c r="E43" s="8"/>
      <c r="F43" s="1"/>
      <c r="G43" s="1"/>
      <c r="I43"/>
    </row>
    <row r="44" spans="1:9" ht="11.25" customHeight="1">
      <c r="A44" s="53"/>
      <c r="B44" s="53"/>
      <c r="C44" s="53"/>
      <c r="D44" s="53"/>
      <c r="E44" s="53"/>
      <c r="F44" s="1"/>
      <c r="G44" s="1"/>
      <c r="I44"/>
    </row>
    <row r="45" spans="1:9" ht="11.25" customHeight="1">
      <c r="A45" s="27"/>
      <c r="B45" s="27"/>
      <c r="C45" s="27"/>
      <c r="D45" s="27"/>
      <c r="E45" s="27"/>
      <c r="F45" s="27"/>
      <c r="G45" s="25"/>
      <c r="H45" s="25"/>
      <c r="I45"/>
    </row>
    <row r="46" spans="1:9" ht="11.25" customHeight="1">
      <c r="A46" s="27"/>
      <c r="B46" s="27"/>
      <c r="C46" s="27"/>
      <c r="D46" s="27"/>
      <c r="E46" s="27"/>
      <c r="F46" s="27"/>
      <c r="G46" s="25"/>
      <c r="H46" s="25"/>
      <c r="I46"/>
    </row>
  </sheetData>
  <mergeCells count="11">
    <mergeCell ref="A33:C33"/>
    <mergeCell ref="A11:A13"/>
    <mergeCell ref="B11:B13"/>
    <mergeCell ref="C11:C13"/>
    <mergeCell ref="D11:F12"/>
    <mergeCell ref="G11:G13"/>
    <mergeCell ref="A4:F4"/>
    <mergeCell ref="A3:F3"/>
    <mergeCell ref="A6:F6"/>
    <mergeCell ref="A7:F7"/>
    <mergeCell ref="A5:F5"/>
  </mergeCells>
  <phoneticPr fontId="6" type="noConversion"/>
  <pageMargins left="0.78740157480314965" right="0.59055118110236227" top="0.98425196850393704" bottom="0.98425196850393704" header="0.51181102362204722" footer="0.51181102362204722"/>
  <pageSetup paperSize="9" scale="75" orientation="landscape" verticalDpi="0" r:id="rId1"/>
  <headerFooter alignWithMargins="0"/>
</worksheet>
</file>

<file path=xl/worksheets/sheet11.xml><?xml version="1.0" encoding="utf-8"?>
<worksheet xmlns="http://schemas.openxmlformats.org/spreadsheetml/2006/main" xmlns:r="http://schemas.openxmlformats.org/officeDocument/2006/relationships">
  <sheetPr codeName="Plan26"/>
  <dimension ref="A1:J49"/>
  <sheetViews>
    <sheetView view="pageLayout" topLeftCell="A10" workbookViewId="0">
      <selection activeCell="B42" sqref="B42"/>
    </sheetView>
  </sheetViews>
  <sheetFormatPr defaultRowHeight="11.25" customHeight="1"/>
  <cols>
    <col min="1" max="1" width="56.42578125" style="20" customWidth="1"/>
    <col min="2" max="2" width="28.140625" style="20" customWidth="1"/>
    <col min="3" max="4" width="9.140625" style="20"/>
    <col min="5" max="5" width="23.5703125" style="20" customWidth="1"/>
    <col min="6" max="6" width="23" style="20" customWidth="1"/>
    <col min="7" max="16384" width="9.140625" style="20"/>
  </cols>
  <sheetData>
    <row r="1" spans="1:10" ht="11.25" customHeight="1">
      <c r="A1" s="132"/>
      <c r="B1" s="132"/>
    </row>
    <row r="2" spans="1:10" ht="11.25" customHeight="1">
      <c r="A2" s="552" t="s">
        <v>68</v>
      </c>
      <c r="B2" s="552"/>
      <c r="C2" s="66"/>
      <c r="D2" s="66"/>
      <c r="E2" s="66"/>
      <c r="F2" s="66"/>
      <c r="G2" s="66"/>
      <c r="H2" s="66"/>
      <c r="I2" s="66"/>
    </row>
    <row r="3" spans="1:10" ht="11.25" customHeight="1">
      <c r="A3" s="552" t="s">
        <v>69</v>
      </c>
      <c r="B3" s="552"/>
      <c r="C3" s="66"/>
      <c r="D3" s="66"/>
      <c r="E3" s="66"/>
      <c r="F3" s="66"/>
      <c r="G3" s="66"/>
      <c r="H3" s="66"/>
      <c r="I3" s="66"/>
    </row>
    <row r="4" spans="1:10" ht="11.25" customHeight="1">
      <c r="A4" s="552" t="s">
        <v>171</v>
      </c>
      <c r="B4" s="552"/>
      <c r="C4" s="66"/>
      <c r="D4" s="66"/>
      <c r="E4" s="66"/>
      <c r="F4" s="66"/>
      <c r="G4" s="66"/>
      <c r="H4" s="66"/>
      <c r="I4" s="66"/>
    </row>
    <row r="5" spans="1:10" ht="11.25" customHeight="1">
      <c r="A5" s="521" t="s">
        <v>278</v>
      </c>
      <c r="B5" s="521"/>
      <c r="C5" s="133"/>
      <c r="D5" s="133"/>
      <c r="E5" s="133"/>
      <c r="F5" s="133"/>
      <c r="G5" s="133"/>
      <c r="H5" s="133"/>
      <c r="I5" s="133"/>
    </row>
    <row r="6" spans="1:10" ht="11.25" customHeight="1">
      <c r="A6" s="553">
        <v>2015</v>
      </c>
      <c r="B6" s="552"/>
      <c r="C6" s="66"/>
      <c r="D6" s="66"/>
      <c r="E6" s="66"/>
      <c r="F6" s="66"/>
      <c r="G6" s="66"/>
      <c r="H6" s="66"/>
      <c r="I6" s="66"/>
      <c r="J6" s="66"/>
    </row>
    <row r="7" spans="1:10" ht="11.25" customHeight="1">
      <c r="A7" s="550"/>
      <c r="B7" s="550"/>
      <c r="D7" s="38"/>
      <c r="E7" s="38"/>
      <c r="F7" s="38"/>
    </row>
    <row r="8" spans="1:10" ht="11.25" customHeight="1">
      <c r="A8" s="132"/>
      <c r="B8" s="132"/>
      <c r="D8" s="38"/>
      <c r="E8" s="38"/>
      <c r="F8" s="38"/>
    </row>
    <row r="9" spans="1:10" ht="11.25" customHeight="1">
      <c r="A9" s="96"/>
      <c r="B9" s="96"/>
      <c r="D9" s="38"/>
      <c r="E9" s="38"/>
      <c r="F9" s="38"/>
    </row>
    <row r="10" spans="1:10" ht="11.25" customHeight="1">
      <c r="A10" s="97" t="s">
        <v>118</v>
      </c>
      <c r="B10" s="98">
        <v>1</v>
      </c>
      <c r="D10" s="38"/>
      <c r="E10" s="147"/>
      <c r="F10" s="147"/>
    </row>
    <row r="11" spans="1:10" ht="11.25" customHeight="1">
      <c r="A11" s="588" t="s">
        <v>102</v>
      </c>
      <c r="B11" s="608" t="s">
        <v>536</v>
      </c>
      <c r="D11" s="38"/>
      <c r="E11" s="148"/>
      <c r="F11" s="149"/>
    </row>
    <row r="12" spans="1:10" s="54" customFormat="1" ht="11.25" customHeight="1">
      <c r="A12" s="589"/>
      <c r="B12" s="609"/>
      <c r="D12" s="153"/>
      <c r="E12" s="150"/>
      <c r="F12" s="151"/>
      <c r="G12" s="20"/>
    </row>
    <row r="13" spans="1:10" ht="13.5" customHeight="1">
      <c r="A13" s="154" t="s">
        <v>103</v>
      </c>
      <c r="B13" s="155">
        <v>1595000</v>
      </c>
      <c r="C13" s="156"/>
      <c r="D13" s="38"/>
      <c r="E13" s="150"/>
      <c r="F13" s="151"/>
    </row>
    <row r="14" spans="1:10" ht="13.5" customHeight="1">
      <c r="A14" s="154" t="s">
        <v>104</v>
      </c>
      <c r="B14" s="155"/>
      <c r="C14" s="156"/>
      <c r="D14" s="38"/>
      <c r="E14" s="150"/>
      <c r="F14" s="151"/>
    </row>
    <row r="15" spans="1:10" ht="14.25" customHeight="1">
      <c r="A15" s="114" t="s">
        <v>134</v>
      </c>
      <c r="B15" s="118">
        <v>0</v>
      </c>
      <c r="C15" s="156"/>
      <c r="D15" s="38"/>
      <c r="E15" s="148"/>
      <c r="F15" s="149"/>
    </row>
    <row r="16" spans="1:10" ht="13.5" customHeight="1">
      <c r="A16" s="114" t="s">
        <v>105</v>
      </c>
      <c r="B16" s="118">
        <v>1595000</v>
      </c>
      <c r="C16" s="156"/>
      <c r="D16" s="38"/>
      <c r="E16" s="150"/>
      <c r="F16" s="151"/>
    </row>
    <row r="17" spans="1:6" ht="13.5" customHeight="1">
      <c r="A17" s="114" t="s">
        <v>106</v>
      </c>
      <c r="B17" s="118"/>
      <c r="C17" s="156"/>
      <c r="D17" s="38"/>
      <c r="E17" s="150"/>
      <c r="F17" s="149"/>
    </row>
    <row r="18" spans="1:6" ht="13.5" customHeight="1">
      <c r="A18" s="114" t="s">
        <v>107</v>
      </c>
      <c r="B18" s="118">
        <v>0</v>
      </c>
      <c r="C18" s="156"/>
      <c r="D18" s="38"/>
      <c r="E18" s="150"/>
      <c r="F18" s="151"/>
    </row>
    <row r="19" spans="1:6" ht="12.75" customHeight="1">
      <c r="A19" s="154" t="s">
        <v>108</v>
      </c>
      <c r="B19" s="157">
        <v>0</v>
      </c>
      <c r="C19" s="156"/>
      <c r="D19" s="38"/>
      <c r="E19" s="148"/>
      <c r="F19" s="149"/>
    </row>
    <row r="20" spans="1:6" ht="12.75" customHeight="1">
      <c r="A20" s="154" t="s">
        <v>109</v>
      </c>
      <c r="B20" s="155"/>
      <c r="C20" s="156"/>
      <c r="D20" s="38"/>
      <c r="E20" s="150"/>
      <c r="F20" s="151"/>
    </row>
    <row r="21" spans="1:6" ht="12.75" customHeight="1">
      <c r="A21" s="114" t="s">
        <v>80</v>
      </c>
      <c r="B21" s="118"/>
      <c r="C21" s="156"/>
      <c r="D21" s="38"/>
      <c r="E21" s="150"/>
      <c r="F21" s="151"/>
    </row>
    <row r="22" spans="1:6" ht="12.75" customHeight="1">
      <c r="A22" s="114" t="s">
        <v>81</v>
      </c>
      <c r="B22" s="118">
        <f>B16</f>
        <v>1595000</v>
      </c>
      <c r="C22" s="156"/>
      <c r="D22" s="38"/>
      <c r="E22" s="148"/>
      <c r="F22" s="152"/>
    </row>
    <row r="23" spans="1:6" ht="11.25" customHeight="1">
      <c r="A23" s="607" t="s">
        <v>383</v>
      </c>
      <c r="B23" s="607"/>
      <c r="D23" s="38"/>
      <c r="E23" s="606"/>
      <c r="F23" s="606"/>
    </row>
    <row r="24" spans="1:6" ht="11.25" customHeight="1">
      <c r="D24" s="38"/>
      <c r="E24" s="38"/>
      <c r="F24" s="38"/>
    </row>
    <row r="25" spans="1:6" ht="11.25" customHeight="1">
      <c r="A25" s="145" t="s">
        <v>254</v>
      </c>
      <c r="B25" s="25"/>
      <c r="C25" s="25"/>
      <c r="D25" s="38"/>
      <c r="E25" s="38"/>
      <c r="F25" s="38"/>
    </row>
    <row r="26" spans="1:6" ht="11.25" customHeight="1">
      <c r="A26" s="146" t="s">
        <v>255</v>
      </c>
      <c r="B26" s="146"/>
      <c r="C26" s="25"/>
    </row>
    <row r="27" spans="1:6" ht="11.25" customHeight="1">
      <c r="A27" s="146" t="s">
        <v>401</v>
      </c>
      <c r="B27" s="25"/>
      <c r="C27" s="25"/>
    </row>
    <row r="28" spans="1:6" ht="11.25" customHeight="1">
      <c r="A28" s="146" t="s">
        <v>256</v>
      </c>
      <c r="B28" s="25"/>
      <c r="C28" s="25"/>
    </row>
    <row r="29" spans="1:6" ht="11.25" customHeight="1">
      <c r="A29" s="146" t="s">
        <v>470</v>
      </c>
      <c r="B29" s="25"/>
      <c r="C29" s="25"/>
    </row>
    <row r="30" spans="1:6" ht="11.25" customHeight="1">
      <c r="A30" s="146" t="s">
        <v>509</v>
      </c>
      <c r="B30" s="25"/>
      <c r="C30" s="25"/>
    </row>
    <row r="31" spans="1:6" ht="11.25" customHeight="1">
      <c r="A31" s="146" t="s">
        <v>510</v>
      </c>
      <c r="B31" s="25"/>
      <c r="C31" s="25"/>
    </row>
    <row r="32" spans="1:6" ht="12" customHeight="1">
      <c r="A32" s="146" t="s">
        <v>402</v>
      </c>
      <c r="B32" s="25"/>
      <c r="C32" s="25"/>
    </row>
    <row r="33" spans="1:6" ht="4.5" customHeight="1">
      <c r="A33" s="146"/>
      <c r="B33" s="25"/>
      <c r="C33" s="25"/>
    </row>
    <row r="34" spans="1:6" ht="11.25" customHeight="1">
      <c r="A34" s="25" t="s">
        <v>257</v>
      </c>
      <c r="B34" s="25"/>
      <c r="C34" s="25"/>
    </row>
    <row r="35" spans="1:6" ht="11.25" customHeight="1">
      <c r="A35" s="25" t="s">
        <v>258</v>
      </c>
      <c r="B35" s="25"/>
      <c r="C35" s="25"/>
    </row>
    <row r="36" spans="1:6" ht="11.25" customHeight="1">
      <c r="A36" s="25" t="s">
        <v>259</v>
      </c>
      <c r="B36" s="25"/>
      <c r="C36" s="25"/>
    </row>
    <row r="37" spans="1:6" ht="11.25" customHeight="1">
      <c r="A37" s="25" t="s">
        <v>260</v>
      </c>
      <c r="B37" s="25"/>
      <c r="C37" s="25"/>
    </row>
    <row r="38" spans="1:6" ht="11.25" customHeight="1">
      <c r="A38" s="25" t="s">
        <v>261</v>
      </c>
      <c r="B38" s="25"/>
      <c r="C38" s="25"/>
    </row>
    <row r="39" spans="1:6" ht="11.25" customHeight="1">
      <c r="A39" s="25" t="s">
        <v>262</v>
      </c>
      <c r="B39" s="25"/>
      <c r="C39" s="25"/>
    </row>
    <row r="40" spans="1:6" ht="11.25" customHeight="1">
      <c r="A40" s="25" t="s">
        <v>263</v>
      </c>
      <c r="B40" s="25"/>
      <c r="C40" s="25"/>
    </row>
    <row r="41" spans="1:6" ht="11.25" customHeight="1">
      <c r="A41" s="25"/>
      <c r="B41" s="25"/>
      <c r="C41" s="25"/>
    </row>
    <row r="42" spans="1:6" ht="11.25" customHeight="1">
      <c r="A42" s="25"/>
      <c r="B42" s="25"/>
      <c r="C42" s="25"/>
    </row>
    <row r="43" spans="1:6" ht="11.25" customHeight="1">
      <c r="A43" s="25" t="s">
        <v>497</v>
      </c>
      <c r="B43" s="27"/>
      <c r="C43" s="28"/>
      <c r="D43" s="28"/>
      <c r="E43" s="8"/>
      <c r="F43" s="25"/>
    </row>
    <row r="44" spans="1:6" ht="11.25" customHeight="1">
      <c r="A44" s="25"/>
      <c r="B44" s="27"/>
      <c r="C44" s="28"/>
      <c r="D44" s="29"/>
      <c r="E44" s="8"/>
      <c r="F44" s="25"/>
    </row>
    <row r="45" spans="1:6" ht="11.25" customHeight="1">
      <c r="A45" s="25"/>
      <c r="B45" s="27"/>
      <c r="C45" s="28"/>
      <c r="D45" s="29"/>
      <c r="E45" s="8"/>
      <c r="F45" s="25"/>
    </row>
    <row r="46" spans="1:6" ht="11.25" customHeight="1">
      <c r="A46" s="25"/>
      <c r="B46" s="27"/>
      <c r="C46" s="28"/>
      <c r="E46" s="8"/>
      <c r="F46" s="28"/>
    </row>
    <row r="47" spans="1:6" ht="11.25" customHeight="1">
      <c r="A47" s="25" t="s">
        <v>433</v>
      </c>
      <c r="B47" s="27" t="s">
        <v>434</v>
      </c>
      <c r="C47" s="28"/>
      <c r="E47" s="8"/>
      <c r="F47" s="30"/>
    </row>
    <row r="48" spans="1:6" ht="11.25" customHeight="1">
      <c r="A48" s="25" t="s">
        <v>239</v>
      </c>
      <c r="B48" s="27" t="s">
        <v>240</v>
      </c>
      <c r="C48" s="30"/>
      <c r="E48" s="8"/>
      <c r="F48" s="1"/>
    </row>
    <row r="49" spans="1:6" ht="11.25" customHeight="1">
      <c r="A49" s="53"/>
      <c r="C49" s="53"/>
      <c r="D49" s="53"/>
      <c r="E49" s="53"/>
      <c r="F49" s="1"/>
    </row>
  </sheetData>
  <mergeCells count="10">
    <mergeCell ref="A2:B2"/>
    <mergeCell ref="A3:B3"/>
    <mergeCell ref="A6:B6"/>
    <mergeCell ref="A4:B4"/>
    <mergeCell ref="E23:F23"/>
    <mergeCell ref="A23:B23"/>
    <mergeCell ref="A11:A12"/>
    <mergeCell ref="B11:B12"/>
    <mergeCell ref="A7:B7"/>
    <mergeCell ref="A5:B5"/>
  </mergeCells>
  <phoneticPr fontId="6" type="noConversion"/>
  <pageMargins left="0.78740157499999996" right="0.78740157499999996" top="0.984251969" bottom="0.984251969" header="0.49212598499999999" footer="0.49212598499999999"/>
  <pageSetup paperSize="9" scale="75" orientation="landscape" r:id="rId1"/>
  <headerFooter alignWithMargins="0">
    <oddHeader xml:space="preserve">&amp;LESTADO RIO GRANDE DO SUL
PREFEITURA MUNICIPAL DE BOA VISTA DO CADEADO
</oddHeader>
  </headerFooter>
</worksheet>
</file>

<file path=xl/worksheets/sheet12.xml><?xml version="1.0" encoding="utf-8"?>
<worksheet xmlns="http://schemas.openxmlformats.org/spreadsheetml/2006/main" xmlns:r="http://schemas.openxmlformats.org/officeDocument/2006/relationships">
  <dimension ref="A3:E31"/>
  <sheetViews>
    <sheetView view="pageLayout" workbookViewId="0">
      <selection activeCell="B80" sqref="B80"/>
    </sheetView>
  </sheetViews>
  <sheetFormatPr defaultRowHeight="12.75"/>
  <cols>
    <col min="1" max="1" width="49.85546875" style="25" customWidth="1"/>
    <col min="2" max="2" width="15.140625" style="25" customWidth="1"/>
    <col min="3" max="3" width="45.85546875" style="25" customWidth="1"/>
    <col min="4" max="4" width="20.7109375" style="25" customWidth="1"/>
    <col min="5" max="16384" width="9.140625" style="25"/>
  </cols>
  <sheetData>
    <row r="3" spans="1:5">
      <c r="A3" s="611"/>
      <c r="B3" s="611"/>
      <c r="C3" s="611"/>
      <c r="D3" s="611"/>
    </row>
    <row r="4" spans="1:5">
      <c r="A4" s="612"/>
      <c r="B4" s="612"/>
      <c r="C4" s="612"/>
      <c r="D4" s="612"/>
    </row>
    <row r="5" spans="1:5">
      <c r="A5" s="613" t="s">
        <v>68</v>
      </c>
      <c r="B5" s="613"/>
      <c r="C5" s="613"/>
      <c r="D5" s="613"/>
      <c r="E5" s="162"/>
    </row>
    <row r="6" spans="1:5">
      <c r="A6" s="613" t="s">
        <v>119</v>
      </c>
      <c r="B6" s="613"/>
      <c r="C6" s="613"/>
      <c r="D6" s="613"/>
      <c r="E6" s="162"/>
    </row>
    <row r="7" spans="1:5">
      <c r="A7" s="613" t="s">
        <v>17</v>
      </c>
      <c r="B7" s="613"/>
      <c r="C7" s="613"/>
      <c r="D7" s="613"/>
      <c r="E7" s="162"/>
    </row>
    <row r="8" spans="1:5" ht="12.75" customHeight="1">
      <c r="A8" s="613" t="s">
        <v>120</v>
      </c>
      <c r="B8" s="613"/>
      <c r="C8" s="613"/>
      <c r="D8" s="613"/>
      <c r="E8" s="162"/>
    </row>
    <row r="9" spans="1:5">
      <c r="A9" s="614">
        <v>2015</v>
      </c>
      <c r="B9" s="613"/>
      <c r="C9" s="613"/>
      <c r="D9" s="613"/>
      <c r="E9" s="162"/>
    </row>
    <row r="10" spans="1:5">
      <c r="A10" s="611"/>
      <c r="B10" s="611"/>
      <c r="C10" s="611"/>
      <c r="D10" s="611"/>
    </row>
    <row r="11" spans="1:5">
      <c r="A11" s="615" t="s">
        <v>125</v>
      </c>
      <c r="B11" s="615"/>
      <c r="C11" s="616">
        <v>1</v>
      </c>
      <c r="D11" s="617"/>
    </row>
    <row r="12" spans="1:5">
      <c r="A12" s="618" t="s">
        <v>121</v>
      </c>
      <c r="B12" s="619"/>
      <c r="C12" s="620" t="s">
        <v>122</v>
      </c>
      <c r="D12" s="618"/>
    </row>
    <row r="13" spans="1:5">
      <c r="A13" s="163" t="s">
        <v>123</v>
      </c>
      <c r="B13" s="163" t="s">
        <v>70</v>
      </c>
      <c r="C13" s="163" t="s">
        <v>123</v>
      </c>
      <c r="D13" s="164" t="s">
        <v>70</v>
      </c>
    </row>
    <row r="14" spans="1:5" ht="17.25" customHeight="1">
      <c r="A14" s="158" t="s">
        <v>264</v>
      </c>
      <c r="B14" s="159">
        <v>30000</v>
      </c>
      <c r="C14" s="160" t="s">
        <v>285</v>
      </c>
      <c r="D14" s="161">
        <f>B18</f>
        <v>150000</v>
      </c>
    </row>
    <row r="15" spans="1:5" ht="15">
      <c r="A15" s="158" t="s">
        <v>265</v>
      </c>
      <c r="B15" s="159">
        <v>10000</v>
      </c>
      <c r="C15" s="160" t="s">
        <v>286</v>
      </c>
      <c r="D15" s="160"/>
    </row>
    <row r="16" spans="1:5" ht="25.5">
      <c r="A16" s="158" t="s">
        <v>275</v>
      </c>
      <c r="B16" s="159">
        <v>55000</v>
      </c>
      <c r="C16" s="160"/>
      <c r="D16" s="160"/>
    </row>
    <row r="17" spans="1:5" ht="15">
      <c r="A17" s="158" t="s">
        <v>266</v>
      </c>
      <c r="B17" s="159">
        <v>55000</v>
      </c>
      <c r="C17" s="160"/>
      <c r="D17" s="160"/>
    </row>
    <row r="18" spans="1:5" ht="15">
      <c r="A18" s="167" t="s">
        <v>63</v>
      </c>
      <c r="B18" s="159">
        <f>SUM(B14:B17)</f>
        <v>150000</v>
      </c>
      <c r="C18" s="165" t="s">
        <v>63</v>
      </c>
      <c r="D18" s="159">
        <f>SUM(D14:D17)</f>
        <v>150000</v>
      </c>
    </row>
    <row r="19" spans="1:5" ht="25.5" customHeight="1">
      <c r="A19" s="610" t="s">
        <v>244</v>
      </c>
      <c r="B19" s="610"/>
      <c r="C19" s="166"/>
      <c r="D19" s="166"/>
    </row>
    <row r="21" spans="1:5">
      <c r="A21" s="25" t="s">
        <v>497</v>
      </c>
      <c r="B21" s="27"/>
      <c r="C21" s="27"/>
      <c r="D21" s="27"/>
      <c r="E21" s="27"/>
    </row>
    <row r="22" spans="1:5">
      <c r="B22" s="27"/>
      <c r="C22" s="27"/>
      <c r="D22" s="27"/>
      <c r="E22" s="27"/>
    </row>
    <row r="23" spans="1:5">
      <c r="B23" s="27"/>
      <c r="C23" s="27"/>
      <c r="D23" s="27"/>
      <c r="E23" s="27"/>
    </row>
    <row r="24" spans="1:5">
      <c r="B24" s="27"/>
      <c r="C24" s="27"/>
      <c r="D24" s="27"/>
      <c r="E24" s="27"/>
    </row>
    <row r="25" spans="1:5">
      <c r="A25" s="25" t="s">
        <v>433</v>
      </c>
      <c r="B25" s="27"/>
      <c r="C25" s="27" t="s">
        <v>434</v>
      </c>
      <c r="D25" s="27"/>
      <c r="E25" s="27"/>
    </row>
    <row r="26" spans="1:5">
      <c r="A26" s="25" t="s">
        <v>239</v>
      </c>
      <c r="B26" s="27"/>
      <c r="C26" s="27" t="s">
        <v>240</v>
      </c>
      <c r="D26" s="27"/>
      <c r="E26" s="27"/>
    </row>
    <row r="27" spans="1:5" ht="15">
      <c r="A27" s="53"/>
      <c r="B27" s="20"/>
      <c r="C27" s="27"/>
      <c r="D27" s="27"/>
      <c r="E27" s="27"/>
    </row>
    <row r="28" spans="1:5">
      <c r="A28" s="27"/>
      <c r="B28" s="27"/>
      <c r="C28" s="27"/>
      <c r="D28" s="27"/>
      <c r="E28" s="27"/>
    </row>
    <row r="29" spans="1:5">
      <c r="A29" s="27"/>
      <c r="B29" s="27"/>
      <c r="C29" s="27"/>
      <c r="D29" s="27"/>
      <c r="E29" s="27"/>
    </row>
    <row r="30" spans="1:5">
      <c r="A30" s="27"/>
      <c r="B30" s="27"/>
      <c r="C30" s="27"/>
      <c r="D30" s="27"/>
      <c r="E30" s="27"/>
    </row>
    <row r="31" spans="1:5">
      <c r="A31" s="57"/>
      <c r="B31" s="57"/>
      <c r="C31" s="57"/>
      <c r="D31" s="57"/>
      <c r="E31" s="57"/>
    </row>
  </sheetData>
  <mergeCells count="13">
    <mergeCell ref="A19:B19"/>
    <mergeCell ref="A3:D3"/>
    <mergeCell ref="A4:D4"/>
    <mergeCell ref="A5:D5"/>
    <mergeCell ref="A10:D10"/>
    <mergeCell ref="A6:D6"/>
    <mergeCell ref="A7:D7"/>
    <mergeCell ref="A8:D8"/>
    <mergeCell ref="A9:D9"/>
    <mergeCell ref="A11:B11"/>
    <mergeCell ref="C11:D11"/>
    <mergeCell ref="A12:B12"/>
    <mergeCell ref="C12:D12"/>
  </mergeCells>
  <phoneticPr fontId="6" type="noConversion"/>
  <pageMargins left="0.78740157499999996" right="0.78740157499999996" top="0.984251969" bottom="0.984251969" header="0.49212598499999999" footer="0.49212598499999999"/>
  <pageSetup paperSize="9" orientation="landscape" r:id="rId1"/>
  <headerFooter alignWithMargins="0">
    <oddHeader>&amp;LESTADO DO RIO GRANDE DO SUL
PREFEITURA MUNICIPAL DE BOA VISTA DO CADEADO</oddHeader>
  </headerFooter>
</worksheet>
</file>

<file path=xl/worksheets/sheet13.xml><?xml version="1.0" encoding="utf-8"?>
<worksheet xmlns="http://schemas.openxmlformats.org/spreadsheetml/2006/main" xmlns:r="http://schemas.openxmlformats.org/officeDocument/2006/relationships">
  <dimension ref="A1:E92"/>
  <sheetViews>
    <sheetView showWhiteSpace="0" view="pageLayout" topLeftCell="A58" workbookViewId="0">
      <selection activeCell="A83" sqref="A83:C88"/>
    </sheetView>
  </sheetViews>
  <sheetFormatPr defaultRowHeight="12.75"/>
  <cols>
    <col min="1" max="1" width="7.7109375" style="25" customWidth="1"/>
    <col min="2" max="2" width="52.85546875" style="25" customWidth="1"/>
    <col min="3" max="3" width="22" style="25" customWidth="1"/>
    <col min="4" max="4" width="13.85546875" style="25" customWidth="1"/>
    <col min="5" max="16384" width="9.140625" style="25"/>
  </cols>
  <sheetData>
    <row r="1" spans="1:4">
      <c r="A1" s="613" t="s">
        <v>68</v>
      </c>
      <c r="B1" s="613"/>
      <c r="C1" s="613"/>
      <c r="D1" s="162"/>
    </row>
    <row r="2" spans="1:4">
      <c r="A2" s="613" t="s">
        <v>119</v>
      </c>
      <c r="B2" s="613"/>
      <c r="C2" s="613"/>
      <c r="D2" s="162"/>
    </row>
    <row r="3" spans="1:4">
      <c r="A3" s="613" t="s">
        <v>124</v>
      </c>
      <c r="B3" s="613"/>
      <c r="C3" s="613"/>
      <c r="D3" s="162"/>
    </row>
    <row r="4" spans="1:4" ht="12.75" customHeight="1">
      <c r="A4" s="613" t="s">
        <v>479</v>
      </c>
      <c r="B4" s="613"/>
      <c r="C4" s="613"/>
      <c r="D4" s="162"/>
    </row>
    <row r="5" spans="1:4">
      <c r="A5" s="614">
        <v>2015</v>
      </c>
      <c r="B5" s="613"/>
      <c r="C5" s="613"/>
      <c r="D5" s="162"/>
    </row>
    <row r="7" spans="1:4" ht="30.75" customHeight="1">
      <c r="A7" s="622" t="s">
        <v>267</v>
      </c>
      <c r="B7" s="622"/>
      <c r="C7" s="622"/>
      <c r="D7" s="622"/>
    </row>
    <row r="8" spans="1:4" ht="13.5" thickBot="1">
      <c r="A8" s="168"/>
      <c r="D8" s="169">
        <v>1</v>
      </c>
    </row>
    <row r="9" spans="1:4" ht="51.75" thickBot="1">
      <c r="A9" s="170" t="s">
        <v>276</v>
      </c>
      <c r="B9" s="170" t="s">
        <v>268</v>
      </c>
      <c r="C9" s="170" t="s">
        <v>126</v>
      </c>
      <c r="D9" s="171" t="s">
        <v>269</v>
      </c>
    </row>
    <row r="10" spans="1:4" ht="13.5" thickBot="1">
      <c r="A10" s="172">
        <v>1001</v>
      </c>
      <c r="B10" s="173" t="s">
        <v>287</v>
      </c>
      <c r="C10" s="174">
        <v>42004</v>
      </c>
      <c r="D10" s="175">
        <v>5000</v>
      </c>
    </row>
    <row r="11" spans="1:4" ht="13.5" thickBot="1">
      <c r="A11" s="172">
        <v>1002</v>
      </c>
      <c r="B11" s="173" t="s">
        <v>270</v>
      </c>
      <c r="C11" s="174">
        <v>42004</v>
      </c>
      <c r="D11" s="175">
        <v>0</v>
      </c>
    </row>
    <row r="12" spans="1:4" ht="13.5" thickBot="1">
      <c r="A12" s="172">
        <v>1003</v>
      </c>
      <c r="B12" s="173" t="s">
        <v>288</v>
      </c>
      <c r="C12" s="174">
        <v>42004</v>
      </c>
      <c r="D12" s="175">
        <v>12000</v>
      </c>
    </row>
    <row r="13" spans="1:4" ht="13.5" thickBot="1">
      <c r="A13" s="172">
        <v>1004</v>
      </c>
      <c r="B13" s="173" t="s">
        <v>403</v>
      </c>
      <c r="C13" s="174">
        <v>42004</v>
      </c>
      <c r="D13" s="175">
        <v>0</v>
      </c>
    </row>
    <row r="14" spans="1:4" ht="13.5" thickBot="1">
      <c r="A14" s="172">
        <v>1005</v>
      </c>
      <c r="B14" s="173" t="s">
        <v>289</v>
      </c>
      <c r="C14" s="174">
        <v>42004</v>
      </c>
      <c r="D14" s="176">
        <v>0</v>
      </c>
    </row>
    <row r="15" spans="1:4" ht="13.5" thickBot="1">
      <c r="A15" s="172">
        <v>1006</v>
      </c>
      <c r="B15" s="173" t="s">
        <v>290</v>
      </c>
      <c r="C15" s="174">
        <v>42004</v>
      </c>
      <c r="D15" s="175">
        <v>11000</v>
      </c>
    </row>
    <row r="16" spans="1:4" ht="13.5" thickBot="1">
      <c r="A16" s="172">
        <v>1007</v>
      </c>
      <c r="B16" s="173" t="s">
        <v>291</v>
      </c>
      <c r="C16" s="174">
        <v>42004</v>
      </c>
      <c r="D16" s="175">
        <v>4000</v>
      </c>
    </row>
    <row r="17" spans="1:4" ht="13.5" thickBot="1">
      <c r="A17" s="172">
        <v>1008</v>
      </c>
      <c r="B17" s="173" t="s">
        <v>292</v>
      </c>
      <c r="C17" s="174">
        <v>42004</v>
      </c>
      <c r="D17" s="176">
        <v>5000</v>
      </c>
    </row>
    <row r="18" spans="1:4" ht="13.5" thickBot="1">
      <c r="A18" s="172">
        <v>1009</v>
      </c>
      <c r="B18" s="173" t="s">
        <v>293</v>
      </c>
      <c r="C18" s="174">
        <v>42004</v>
      </c>
      <c r="D18" s="175">
        <v>12000</v>
      </c>
    </row>
    <row r="19" spans="1:4" ht="13.5" thickBot="1">
      <c r="A19" s="172">
        <v>1010</v>
      </c>
      <c r="B19" s="173" t="s">
        <v>294</v>
      </c>
      <c r="C19" s="174">
        <v>42004</v>
      </c>
      <c r="D19" s="175">
        <v>10000</v>
      </c>
    </row>
    <row r="20" spans="1:4" ht="13.5" thickBot="1">
      <c r="A20" s="172">
        <v>1011</v>
      </c>
      <c r="B20" s="173" t="s">
        <v>270</v>
      </c>
      <c r="C20" s="174">
        <v>42004</v>
      </c>
      <c r="D20" s="175"/>
    </row>
    <row r="21" spans="1:4" ht="13.5" thickBot="1">
      <c r="A21" s="172">
        <v>1012</v>
      </c>
      <c r="B21" s="173" t="s">
        <v>295</v>
      </c>
      <c r="C21" s="174">
        <v>42004</v>
      </c>
      <c r="D21" s="175">
        <v>12000</v>
      </c>
    </row>
    <row r="22" spans="1:4" ht="13.5" thickBot="1">
      <c r="A22" s="172">
        <v>1013</v>
      </c>
      <c r="B22" s="173" t="s">
        <v>296</v>
      </c>
      <c r="C22" s="174">
        <v>42004</v>
      </c>
      <c r="D22" s="175">
        <v>20000</v>
      </c>
    </row>
    <row r="23" spans="1:4" ht="13.5" thickBot="1">
      <c r="A23" s="172">
        <v>1014</v>
      </c>
      <c r="B23" s="173" t="s">
        <v>297</v>
      </c>
      <c r="C23" s="174">
        <v>42004</v>
      </c>
      <c r="D23" s="175">
        <v>20000</v>
      </c>
    </row>
    <row r="24" spans="1:4" ht="13.5" thickBot="1">
      <c r="A24" s="172">
        <v>1015</v>
      </c>
      <c r="B24" s="173" t="s">
        <v>298</v>
      </c>
      <c r="C24" s="174">
        <v>42004</v>
      </c>
      <c r="D24" s="175">
        <v>30000</v>
      </c>
    </row>
    <row r="25" spans="1:4" ht="13.5" thickBot="1">
      <c r="A25" s="172">
        <v>1016</v>
      </c>
      <c r="B25" s="173" t="s">
        <v>298</v>
      </c>
      <c r="C25" s="174">
        <v>42004</v>
      </c>
      <c r="D25" s="175">
        <v>0</v>
      </c>
    </row>
    <row r="26" spans="1:4" ht="13.5" thickBot="1">
      <c r="A26" s="172">
        <v>1017</v>
      </c>
      <c r="B26" s="173" t="s">
        <v>299</v>
      </c>
      <c r="C26" s="174">
        <v>42004</v>
      </c>
      <c r="D26" s="175">
        <v>3000</v>
      </c>
    </row>
    <row r="27" spans="1:4" ht="13.5" thickBot="1">
      <c r="A27" s="172">
        <v>1018</v>
      </c>
      <c r="B27" s="173" t="s">
        <v>300</v>
      </c>
      <c r="C27" s="174">
        <v>42004</v>
      </c>
      <c r="D27" s="175">
        <v>0</v>
      </c>
    </row>
    <row r="28" spans="1:4" ht="13.5" thickBot="1">
      <c r="A28" s="172">
        <v>1019</v>
      </c>
      <c r="B28" s="173" t="s">
        <v>301</v>
      </c>
      <c r="C28" s="174">
        <v>42004</v>
      </c>
      <c r="D28" s="175">
        <v>35000</v>
      </c>
    </row>
    <row r="29" spans="1:4" ht="13.5" thickBot="1">
      <c r="A29" s="172">
        <v>1020</v>
      </c>
      <c r="B29" s="173" t="s">
        <v>302</v>
      </c>
      <c r="C29" s="174">
        <v>42004</v>
      </c>
      <c r="D29" s="175">
        <v>45000</v>
      </c>
    </row>
    <row r="30" spans="1:4" ht="13.5" thickBot="1">
      <c r="A30" s="172">
        <v>1021</v>
      </c>
      <c r="B30" s="173" t="s">
        <v>303</v>
      </c>
      <c r="C30" s="174">
        <v>42004</v>
      </c>
      <c r="D30" s="175">
        <v>45000</v>
      </c>
    </row>
    <row r="31" spans="1:4" ht="13.5" thickBot="1">
      <c r="A31" s="172">
        <v>1022</v>
      </c>
      <c r="B31" s="173" t="s">
        <v>304</v>
      </c>
      <c r="C31" s="174">
        <v>42004</v>
      </c>
      <c r="D31" s="175">
        <v>20000</v>
      </c>
    </row>
    <row r="32" spans="1:4" ht="13.5" thickBot="1">
      <c r="A32" s="172">
        <v>1023</v>
      </c>
      <c r="B32" s="173" t="s">
        <v>305</v>
      </c>
      <c r="C32" s="174">
        <v>42004</v>
      </c>
      <c r="D32" s="175">
        <v>0</v>
      </c>
    </row>
    <row r="33" spans="1:4" ht="13.5" thickBot="1">
      <c r="A33" s="172">
        <v>1024</v>
      </c>
      <c r="B33" s="173" t="s">
        <v>306</v>
      </c>
      <c r="C33" s="174">
        <v>42004</v>
      </c>
      <c r="D33" s="176">
        <v>29000</v>
      </c>
    </row>
    <row r="34" spans="1:4" ht="13.5" thickBot="1">
      <c r="A34" s="172">
        <v>1025</v>
      </c>
      <c r="B34" s="173" t="s">
        <v>307</v>
      </c>
      <c r="C34" s="174">
        <v>42004</v>
      </c>
      <c r="D34" s="175">
        <v>7000</v>
      </c>
    </row>
    <row r="35" spans="1:4" ht="13.5" thickBot="1">
      <c r="A35" s="172">
        <v>1026</v>
      </c>
      <c r="B35" s="173" t="s">
        <v>308</v>
      </c>
      <c r="C35" s="174">
        <v>42004</v>
      </c>
      <c r="D35" s="175"/>
    </row>
    <row r="36" spans="1:4" ht="13.5" thickBot="1">
      <c r="A36" s="172">
        <v>1027</v>
      </c>
      <c r="B36" s="173" t="s">
        <v>309</v>
      </c>
      <c r="C36" s="174">
        <v>42004</v>
      </c>
      <c r="D36" s="175">
        <v>5000</v>
      </c>
    </row>
    <row r="37" spans="1:4" ht="13.5" thickBot="1">
      <c r="A37" s="172">
        <v>1028</v>
      </c>
      <c r="B37" s="173" t="s">
        <v>310</v>
      </c>
      <c r="C37" s="174">
        <v>42004</v>
      </c>
      <c r="D37" s="175">
        <v>0</v>
      </c>
    </row>
    <row r="38" spans="1:4" ht="13.5" thickBot="1">
      <c r="A38" s="172">
        <v>1029</v>
      </c>
      <c r="B38" s="173" t="s">
        <v>311</v>
      </c>
      <c r="C38" s="174">
        <v>42004</v>
      </c>
      <c r="D38" s="175"/>
    </row>
    <row r="39" spans="1:4" ht="13.5" thickBot="1">
      <c r="A39" s="172">
        <v>1030</v>
      </c>
      <c r="B39" s="173" t="s">
        <v>312</v>
      </c>
      <c r="C39" s="174">
        <v>42004</v>
      </c>
      <c r="D39" s="175">
        <v>0</v>
      </c>
    </row>
    <row r="40" spans="1:4" ht="13.5" thickBot="1">
      <c r="A40" s="172">
        <v>1031</v>
      </c>
      <c r="B40" s="173" t="s">
        <v>313</v>
      </c>
      <c r="C40" s="174">
        <v>42004</v>
      </c>
      <c r="D40" s="175">
        <v>3000</v>
      </c>
    </row>
    <row r="41" spans="1:4" ht="13.5" thickBot="1">
      <c r="A41" s="172">
        <v>1032</v>
      </c>
      <c r="B41" s="173" t="s">
        <v>298</v>
      </c>
      <c r="C41" s="174">
        <v>42004</v>
      </c>
      <c r="D41" s="175">
        <v>0</v>
      </c>
    </row>
    <row r="42" spans="1:4" ht="13.5" thickBot="1">
      <c r="A42" s="172">
        <v>1033</v>
      </c>
      <c r="B42" s="173" t="s">
        <v>314</v>
      </c>
      <c r="C42" s="174">
        <v>42004</v>
      </c>
      <c r="D42" s="175">
        <v>0</v>
      </c>
    </row>
    <row r="43" spans="1:4" ht="13.5" thickBot="1">
      <c r="A43" s="172">
        <v>1034</v>
      </c>
      <c r="B43" s="173" t="s">
        <v>272</v>
      </c>
      <c r="C43" s="174">
        <v>42004</v>
      </c>
      <c r="D43" s="175">
        <v>60000</v>
      </c>
    </row>
    <row r="44" spans="1:4" ht="13.5" thickBot="1">
      <c r="A44" s="172">
        <v>1035</v>
      </c>
      <c r="B44" s="173" t="s">
        <v>331</v>
      </c>
      <c r="C44" s="174">
        <v>42004</v>
      </c>
      <c r="D44" s="175">
        <v>21000</v>
      </c>
    </row>
    <row r="45" spans="1:4" ht="13.5" thickBot="1">
      <c r="A45" s="172">
        <v>1036</v>
      </c>
      <c r="B45" s="173" t="s">
        <v>315</v>
      </c>
      <c r="C45" s="174">
        <v>42004</v>
      </c>
      <c r="D45" s="175">
        <v>97000</v>
      </c>
    </row>
    <row r="46" spans="1:4" ht="14.25" customHeight="1" thickBot="1">
      <c r="A46" s="172">
        <v>1037</v>
      </c>
      <c r="B46" s="173" t="s">
        <v>316</v>
      </c>
      <c r="C46" s="174">
        <v>42004</v>
      </c>
      <c r="D46" s="175">
        <v>251000</v>
      </c>
    </row>
    <row r="47" spans="1:4" ht="13.5" thickBot="1">
      <c r="A47" s="172">
        <v>1038</v>
      </c>
      <c r="B47" s="173" t="s">
        <v>317</v>
      </c>
      <c r="C47" s="174">
        <v>42004</v>
      </c>
      <c r="D47" s="175">
        <v>0</v>
      </c>
    </row>
    <row r="48" spans="1:4" ht="13.5" thickBot="1">
      <c r="A48" s="172">
        <v>1039</v>
      </c>
      <c r="B48" s="173" t="s">
        <v>318</v>
      </c>
      <c r="C48" s="174">
        <v>42004</v>
      </c>
      <c r="D48" s="175">
        <v>0</v>
      </c>
    </row>
    <row r="49" spans="1:4" ht="13.5" thickBot="1">
      <c r="A49" s="172">
        <v>1040</v>
      </c>
      <c r="B49" s="173" t="s">
        <v>319</v>
      </c>
      <c r="C49" s="174">
        <v>42004</v>
      </c>
      <c r="D49" s="270">
        <v>0</v>
      </c>
    </row>
    <row r="50" spans="1:4" ht="13.5" thickBot="1">
      <c r="A50" s="172">
        <v>1041</v>
      </c>
      <c r="B50" s="173" t="s">
        <v>320</v>
      </c>
      <c r="C50" s="174">
        <v>42004</v>
      </c>
      <c r="D50" s="270">
        <v>0</v>
      </c>
    </row>
    <row r="51" spans="1:4" ht="13.5" thickBot="1">
      <c r="A51" s="172">
        <v>1042</v>
      </c>
      <c r="B51" s="173" t="s">
        <v>321</v>
      </c>
      <c r="C51" s="174">
        <v>42004</v>
      </c>
      <c r="D51" s="175">
        <v>0</v>
      </c>
    </row>
    <row r="52" spans="1:4" ht="13.5" thickBot="1">
      <c r="A52" s="172">
        <v>1043</v>
      </c>
      <c r="B52" s="173" t="s">
        <v>322</v>
      </c>
      <c r="C52" s="174">
        <v>42004</v>
      </c>
      <c r="D52" s="175">
        <v>0</v>
      </c>
    </row>
    <row r="53" spans="1:4" ht="13.5" thickBot="1">
      <c r="A53" s="172">
        <v>1044</v>
      </c>
      <c r="B53" s="173" t="s">
        <v>323</v>
      </c>
      <c r="C53" s="174">
        <v>42004</v>
      </c>
      <c r="D53" s="270">
        <v>0</v>
      </c>
    </row>
    <row r="54" spans="1:4" ht="13.5" thickBot="1">
      <c r="A54" s="172">
        <v>1045</v>
      </c>
      <c r="B54" s="173" t="s">
        <v>324</v>
      </c>
      <c r="C54" s="174">
        <v>42004</v>
      </c>
      <c r="D54" s="270">
        <v>0</v>
      </c>
    </row>
    <row r="55" spans="1:4" ht="13.5" thickBot="1">
      <c r="A55" s="172">
        <v>1046</v>
      </c>
      <c r="B55" s="173" t="s">
        <v>325</v>
      </c>
      <c r="C55" s="174">
        <v>42004</v>
      </c>
      <c r="D55" s="270">
        <v>0</v>
      </c>
    </row>
    <row r="56" spans="1:4" ht="13.5" thickBot="1">
      <c r="A56" s="172">
        <v>1047</v>
      </c>
      <c r="B56" s="173" t="s">
        <v>326</v>
      </c>
      <c r="C56" s="174">
        <v>42004</v>
      </c>
      <c r="D56" s="175">
        <v>0</v>
      </c>
    </row>
    <row r="57" spans="1:4" ht="13.5" thickBot="1">
      <c r="A57" s="172">
        <v>1048</v>
      </c>
      <c r="B57" s="173" t="s">
        <v>327</v>
      </c>
      <c r="C57" s="174">
        <v>42004</v>
      </c>
      <c r="D57" s="175">
        <v>0</v>
      </c>
    </row>
    <row r="58" spans="1:4" ht="13.5" thickBot="1">
      <c r="A58" s="172">
        <v>1049</v>
      </c>
      <c r="B58" s="173" t="s">
        <v>298</v>
      </c>
      <c r="C58" s="174">
        <v>42004</v>
      </c>
      <c r="D58" s="175">
        <v>0</v>
      </c>
    </row>
    <row r="59" spans="1:4" ht="13.5" thickBot="1">
      <c r="A59" s="172">
        <v>1050</v>
      </c>
      <c r="B59" s="173" t="s">
        <v>328</v>
      </c>
      <c r="C59" s="174">
        <v>42004</v>
      </c>
      <c r="D59" s="175">
        <v>0</v>
      </c>
    </row>
    <row r="60" spans="1:4" ht="13.5" thickBot="1">
      <c r="A60" s="172">
        <v>1051</v>
      </c>
      <c r="B60" s="173" t="s">
        <v>329</v>
      </c>
      <c r="C60" s="174">
        <v>42004</v>
      </c>
      <c r="D60" s="175">
        <v>0</v>
      </c>
    </row>
    <row r="61" spans="1:4" ht="13.5" thickBot="1">
      <c r="A61" s="172">
        <v>1052</v>
      </c>
      <c r="B61" s="173" t="s">
        <v>330</v>
      </c>
      <c r="C61" s="174">
        <v>42004</v>
      </c>
      <c r="D61" s="175">
        <v>4000</v>
      </c>
    </row>
    <row r="62" spans="1:4" ht="13.5" thickBot="1">
      <c r="A62" s="172">
        <v>1053</v>
      </c>
      <c r="B62" s="173" t="s">
        <v>385</v>
      </c>
      <c r="C62" s="174">
        <v>42004</v>
      </c>
      <c r="D62" s="175"/>
    </row>
    <row r="63" spans="1:4" ht="13.5" thickBot="1">
      <c r="A63" s="172">
        <v>1055</v>
      </c>
      <c r="B63" s="173" t="s">
        <v>406</v>
      </c>
      <c r="C63" s="174">
        <v>42004</v>
      </c>
      <c r="D63" s="270">
        <v>35000</v>
      </c>
    </row>
    <row r="64" spans="1:4" ht="13.5" thickBot="1">
      <c r="A64" s="172">
        <v>1056</v>
      </c>
      <c r="B64" s="173" t="s">
        <v>404</v>
      </c>
      <c r="C64" s="174">
        <v>42004</v>
      </c>
      <c r="D64" s="175">
        <v>45000</v>
      </c>
    </row>
    <row r="65" spans="1:5" ht="13.5" thickBot="1">
      <c r="A65" s="172">
        <v>1057</v>
      </c>
      <c r="B65" s="173" t="s">
        <v>405</v>
      </c>
      <c r="C65" s="174">
        <v>42004</v>
      </c>
      <c r="D65" s="175">
        <v>0</v>
      </c>
    </row>
    <row r="66" spans="1:5" ht="13.5" thickBot="1">
      <c r="A66" s="172">
        <v>1058</v>
      </c>
      <c r="B66" s="173" t="s">
        <v>480</v>
      </c>
      <c r="C66" s="174">
        <v>42004</v>
      </c>
      <c r="D66" s="175">
        <v>11000</v>
      </c>
    </row>
    <row r="67" spans="1:5" ht="13.5" thickBot="1">
      <c r="A67" s="172">
        <v>1059</v>
      </c>
      <c r="B67" s="173" t="s">
        <v>481</v>
      </c>
      <c r="C67" s="174">
        <v>42369</v>
      </c>
      <c r="D67" s="175">
        <v>150000</v>
      </c>
    </row>
    <row r="68" spans="1:5" ht="13.5" thickBot="1">
      <c r="A68" s="177" t="s">
        <v>15</v>
      </c>
      <c r="B68" s="177"/>
      <c r="C68" s="177"/>
      <c r="D68" s="178">
        <f>SUM(D10:D67)</f>
        <v>1007000</v>
      </c>
    </row>
    <row r="69" spans="1:5">
      <c r="A69" s="227" t="s">
        <v>386</v>
      </c>
      <c r="B69" s="227" t="s">
        <v>387</v>
      </c>
      <c r="C69" s="227"/>
      <c r="D69" s="228"/>
    </row>
    <row r="70" spans="1:5">
      <c r="A70" s="227"/>
      <c r="B70" s="227"/>
      <c r="C70" s="227"/>
      <c r="D70" s="228"/>
    </row>
    <row r="71" spans="1:5">
      <c r="A71" s="227"/>
      <c r="B71" s="227"/>
      <c r="C71" s="227"/>
      <c r="D71" s="228"/>
    </row>
    <row r="72" spans="1:5">
      <c r="A72" s="227"/>
      <c r="B72" s="227"/>
      <c r="C72" s="227"/>
      <c r="D72" s="228"/>
    </row>
    <row r="73" spans="1:5" ht="17.25" customHeight="1">
      <c r="A73" s="179" t="s">
        <v>254</v>
      </c>
    </row>
    <row r="74" spans="1:5" ht="44.25" customHeight="1">
      <c r="A74" s="452" t="s">
        <v>508</v>
      </c>
      <c r="B74" s="452"/>
      <c r="C74" s="452"/>
      <c r="D74" s="452"/>
      <c r="E74" s="180"/>
    </row>
    <row r="75" spans="1:5" ht="52.5" customHeight="1">
      <c r="A75" s="452" t="s">
        <v>506</v>
      </c>
      <c r="B75" s="452"/>
      <c r="C75" s="452"/>
      <c r="D75" s="452"/>
    </row>
    <row r="76" spans="1:5">
      <c r="A76" s="179"/>
    </row>
    <row r="77" spans="1:5">
      <c r="A77" s="179"/>
    </row>
    <row r="78" spans="1:5">
      <c r="A78" s="621" t="s">
        <v>271</v>
      </c>
      <c r="B78" s="621"/>
      <c r="C78" s="621"/>
      <c r="D78" s="621"/>
    </row>
    <row r="79" spans="1:5">
      <c r="A79" s="179"/>
    </row>
    <row r="80" spans="1:5" ht="26.25" customHeight="1">
      <c r="A80" s="452" t="s">
        <v>507</v>
      </c>
      <c r="B80" s="452"/>
      <c r="C80" s="452"/>
      <c r="D80" s="452"/>
    </row>
    <row r="81" spans="1:5" ht="27" customHeight="1">
      <c r="A81" s="452" t="s">
        <v>332</v>
      </c>
      <c r="B81" s="452"/>
      <c r="C81" s="452"/>
      <c r="D81" s="452"/>
    </row>
    <row r="82" spans="1:5">
      <c r="A82" s="452"/>
      <c r="B82" s="452"/>
      <c r="C82" s="452"/>
      <c r="D82" s="452"/>
    </row>
    <row r="83" spans="1:5">
      <c r="A83" s="25" t="s">
        <v>497</v>
      </c>
      <c r="B83" s="27"/>
      <c r="C83" s="27"/>
      <c r="D83" s="27"/>
      <c r="E83" s="27"/>
    </row>
    <row r="84" spans="1:5">
      <c r="B84" s="27"/>
      <c r="C84" s="27"/>
      <c r="D84" s="27"/>
      <c r="E84" s="27"/>
    </row>
    <row r="85" spans="1:5">
      <c r="B85" s="27"/>
      <c r="C85" s="27"/>
      <c r="D85" s="27"/>
      <c r="E85" s="27"/>
    </row>
    <row r="86" spans="1:5">
      <c r="B86" s="27"/>
      <c r="C86" s="27"/>
      <c r="D86" s="27"/>
      <c r="E86" s="27"/>
    </row>
    <row r="87" spans="1:5">
      <c r="A87" s="25" t="s">
        <v>433</v>
      </c>
      <c r="B87" s="27"/>
      <c r="C87" s="27" t="s">
        <v>434</v>
      </c>
      <c r="D87" s="27"/>
      <c r="E87" s="27"/>
    </row>
    <row r="88" spans="1:5" ht="15.75" customHeight="1">
      <c r="A88" s="25" t="s">
        <v>239</v>
      </c>
      <c r="B88" s="27"/>
      <c r="C88" s="27" t="s">
        <v>240</v>
      </c>
      <c r="D88" s="27"/>
      <c r="E88" s="27"/>
    </row>
    <row r="89" spans="1:5">
      <c r="A89" s="27"/>
      <c r="B89" s="27"/>
      <c r="C89" s="27"/>
      <c r="D89" s="27"/>
      <c r="E89" s="27"/>
    </row>
    <row r="90" spans="1:5">
      <c r="A90" s="27"/>
      <c r="B90" s="27"/>
      <c r="C90" s="27"/>
      <c r="D90" s="27"/>
      <c r="E90" s="27"/>
    </row>
    <row r="91" spans="1:5">
      <c r="A91" s="27"/>
      <c r="B91" s="27"/>
      <c r="C91" s="27"/>
      <c r="D91" s="27"/>
      <c r="E91" s="27"/>
    </row>
    <row r="92" spans="1:5">
      <c r="A92" s="57"/>
      <c r="B92" s="57"/>
      <c r="C92" s="57"/>
      <c r="D92" s="57"/>
      <c r="E92" s="57"/>
    </row>
  </sheetData>
  <mergeCells count="12">
    <mergeCell ref="A1:C1"/>
    <mergeCell ref="A2:C2"/>
    <mergeCell ref="A3:C3"/>
    <mergeCell ref="A4:C4"/>
    <mergeCell ref="A75:D75"/>
    <mergeCell ref="A74:D74"/>
    <mergeCell ref="A5:C5"/>
    <mergeCell ref="A78:D78"/>
    <mergeCell ref="A80:D80"/>
    <mergeCell ref="A81:D81"/>
    <mergeCell ref="A82:D82"/>
    <mergeCell ref="A7:D7"/>
  </mergeCells>
  <phoneticPr fontId="6" type="noConversion"/>
  <pageMargins left="1.3385826771653544" right="0.78740157480314965" top="0.98425196850393704" bottom="0.98425196850393704" header="0.51181102362204722" footer="0.51181102362204722"/>
  <pageSetup paperSize="9" scale="70" orientation="portrait" r:id="rId1"/>
  <headerFooter alignWithMargins="0">
    <oddHeader xml:space="preserve">&amp;LESTADO DO RIO GRANDE DO SUL
PREFEITURA MUNICIPAL DE BOA VISTA DO CADEADO
</oddHeader>
  </headerFooter>
  <legacyDrawing r:id="rId2"/>
</worksheet>
</file>

<file path=xl/worksheets/sheet14.xml><?xml version="1.0" encoding="utf-8"?>
<worksheet xmlns="http://schemas.openxmlformats.org/spreadsheetml/2006/main" xmlns:r="http://schemas.openxmlformats.org/officeDocument/2006/relationships">
  <dimension ref="A1:L90"/>
  <sheetViews>
    <sheetView tabSelected="1" view="pageLayout" topLeftCell="A55" zoomScaleNormal="75" workbookViewId="0">
      <selection activeCell="C87" sqref="C87"/>
    </sheetView>
  </sheetViews>
  <sheetFormatPr defaultRowHeight="12.75"/>
  <cols>
    <col min="1" max="1" width="30.42578125" style="25" customWidth="1"/>
    <col min="2" max="2" width="14.7109375" style="25" customWidth="1"/>
    <col min="3" max="3" width="15.85546875" style="25" customWidth="1"/>
    <col min="4" max="4" width="13.85546875" style="25" customWidth="1"/>
    <col min="5" max="5" width="14.28515625" style="25" customWidth="1"/>
    <col min="6" max="6" width="11.42578125" style="25" customWidth="1"/>
    <col min="7" max="7" width="12.5703125" style="25" customWidth="1"/>
    <col min="8" max="8" width="12.85546875" style="25" customWidth="1"/>
    <col min="9" max="9" width="14" style="25" customWidth="1"/>
    <col min="10" max="10" width="13.140625" style="25" customWidth="1"/>
    <col min="11" max="11" width="12" style="25" customWidth="1"/>
    <col min="12" max="16384" width="9.140625" style="25"/>
  </cols>
  <sheetData>
    <row r="1" spans="1:12" ht="12.75" customHeight="1">
      <c r="A1" s="613" t="s">
        <v>68</v>
      </c>
      <c r="B1" s="613"/>
      <c r="C1" s="613"/>
      <c r="D1" s="613"/>
      <c r="E1" s="613"/>
      <c r="F1" s="613"/>
      <c r="G1" s="613"/>
      <c r="H1" s="613"/>
      <c r="I1" s="613"/>
    </row>
    <row r="2" spans="1:12">
      <c r="A2" s="613" t="s">
        <v>127</v>
      </c>
      <c r="B2" s="613"/>
      <c r="C2" s="613"/>
      <c r="D2" s="613"/>
      <c r="E2" s="613"/>
      <c r="F2" s="613"/>
      <c r="G2" s="613"/>
      <c r="H2" s="613"/>
      <c r="I2" s="613"/>
    </row>
    <row r="3" spans="1:12" ht="12.75" customHeight="1">
      <c r="A3" s="613" t="s">
        <v>132</v>
      </c>
      <c r="B3" s="613"/>
      <c r="C3" s="613"/>
      <c r="D3" s="613"/>
      <c r="E3" s="613"/>
      <c r="F3" s="613"/>
      <c r="G3" s="613"/>
      <c r="H3" s="613"/>
      <c r="I3" s="613"/>
    </row>
    <row r="4" spans="1:12">
      <c r="A4" s="623">
        <v>2015</v>
      </c>
      <c r="B4" s="447"/>
      <c r="C4" s="447"/>
      <c r="D4" s="447"/>
      <c r="E4" s="447"/>
      <c r="F4" s="447"/>
      <c r="G4" s="447"/>
      <c r="H4" s="447"/>
      <c r="I4" s="447"/>
    </row>
    <row r="5" spans="1:12">
      <c r="A5" s="446"/>
      <c r="B5" s="446"/>
      <c r="C5" s="446"/>
      <c r="D5" s="446"/>
      <c r="E5" s="446"/>
      <c r="F5" s="446"/>
      <c r="G5" s="446"/>
      <c r="H5" s="446"/>
      <c r="I5" s="446"/>
    </row>
    <row r="6" spans="1:12">
      <c r="A6" s="87"/>
      <c r="I6" s="87"/>
      <c r="J6" s="87"/>
      <c r="K6" s="87"/>
    </row>
    <row r="7" spans="1:12" ht="24.75" customHeight="1" thickBot="1">
      <c r="A7" s="629" t="s">
        <v>128</v>
      </c>
      <c r="B7" s="627" t="s">
        <v>129</v>
      </c>
      <c r="C7" s="627" t="s">
        <v>130</v>
      </c>
      <c r="D7" s="627" t="s">
        <v>158</v>
      </c>
      <c r="E7" s="627" t="s">
        <v>159</v>
      </c>
      <c r="F7" s="627" t="s">
        <v>160</v>
      </c>
      <c r="G7" s="624" t="s">
        <v>472</v>
      </c>
      <c r="H7" s="625"/>
      <c r="I7" s="625"/>
      <c r="J7" s="625"/>
      <c r="K7" s="626"/>
    </row>
    <row r="8" spans="1:12" ht="49.5" customHeight="1" thickBot="1">
      <c r="A8" s="630"/>
      <c r="B8" s="628"/>
      <c r="C8" s="628"/>
      <c r="D8" s="628"/>
      <c r="E8" s="628"/>
      <c r="F8" s="628"/>
      <c r="G8" s="235" t="s">
        <v>149</v>
      </c>
      <c r="H8" s="235" t="s">
        <v>150</v>
      </c>
      <c r="I8" s="236" t="s">
        <v>151</v>
      </c>
      <c r="J8" s="236" t="s">
        <v>152</v>
      </c>
      <c r="K8" s="237" t="s">
        <v>153</v>
      </c>
      <c r="L8" s="87"/>
    </row>
    <row r="9" spans="1:12" ht="18" customHeight="1">
      <c r="A9" s="238" t="s">
        <v>131</v>
      </c>
      <c r="B9" s="238" t="s">
        <v>333</v>
      </c>
      <c r="C9" s="238"/>
      <c r="D9" s="238"/>
      <c r="E9" s="238"/>
      <c r="F9" s="238"/>
      <c r="G9" s="239"/>
      <c r="H9" s="239"/>
      <c r="I9" s="240"/>
      <c r="J9" s="240"/>
      <c r="K9" s="241"/>
    </row>
    <row r="10" spans="1:12" ht="15" customHeight="1">
      <c r="A10" s="242" t="s">
        <v>334</v>
      </c>
      <c r="B10" s="238"/>
      <c r="C10" s="243">
        <v>948</v>
      </c>
      <c r="D10" s="238">
        <v>51</v>
      </c>
      <c r="E10" s="238">
        <v>5</v>
      </c>
      <c r="F10" s="244"/>
      <c r="G10" s="239"/>
      <c r="H10" s="239"/>
      <c r="I10" s="240"/>
      <c r="J10" s="240"/>
      <c r="K10" s="241"/>
    </row>
    <row r="11" spans="1:12" ht="15" customHeight="1">
      <c r="A11" s="242" t="s">
        <v>335</v>
      </c>
      <c r="B11" s="238"/>
      <c r="C11" s="243">
        <v>1137.5999999999999</v>
      </c>
      <c r="D11" s="238"/>
      <c r="E11" s="238">
        <v>15</v>
      </c>
      <c r="F11" s="244"/>
      <c r="G11" s="239"/>
      <c r="H11" s="239"/>
      <c r="I11" s="240"/>
      <c r="J11" s="240"/>
      <c r="K11" s="241"/>
    </row>
    <row r="12" spans="1:12" ht="17.25" customHeight="1">
      <c r="A12" s="242" t="s">
        <v>336</v>
      </c>
      <c r="B12" s="238"/>
      <c r="C12" s="243">
        <v>1327.2</v>
      </c>
      <c r="D12" s="238"/>
      <c r="E12" s="238">
        <v>11</v>
      </c>
      <c r="F12" s="244"/>
      <c r="G12" s="239"/>
      <c r="H12" s="239"/>
      <c r="I12" s="240"/>
      <c r="J12" s="240"/>
      <c r="K12" s="241"/>
    </row>
    <row r="13" spans="1:12">
      <c r="A13" s="242" t="s">
        <v>388</v>
      </c>
      <c r="B13" s="238"/>
      <c r="C13" s="243">
        <v>1535.76</v>
      </c>
      <c r="D13" s="238"/>
      <c r="E13" s="238">
        <v>5</v>
      </c>
      <c r="F13" s="244"/>
      <c r="G13" s="239"/>
      <c r="H13" s="239"/>
      <c r="I13" s="240"/>
      <c r="J13" s="240"/>
      <c r="K13" s="241"/>
    </row>
    <row r="14" spans="1:12">
      <c r="A14" s="242" t="s">
        <v>407</v>
      </c>
      <c r="B14" s="238"/>
      <c r="C14" s="243">
        <v>1535.76</v>
      </c>
      <c r="D14" s="238"/>
      <c r="E14" s="238">
        <v>1</v>
      </c>
      <c r="F14" s="244"/>
      <c r="G14" s="239"/>
      <c r="H14" s="239"/>
      <c r="I14" s="240"/>
      <c r="J14" s="240"/>
      <c r="K14" s="241"/>
    </row>
    <row r="15" spans="1:12" ht="15" customHeight="1">
      <c r="A15" s="242"/>
      <c r="B15" s="242"/>
      <c r="C15" s="245"/>
      <c r="D15" s="242"/>
      <c r="E15" s="242"/>
      <c r="F15" s="246"/>
      <c r="G15" s="242"/>
      <c r="H15" s="242"/>
      <c r="I15" s="247"/>
      <c r="J15" s="248"/>
      <c r="K15" s="241"/>
    </row>
    <row r="16" spans="1:12">
      <c r="A16" s="238" t="s">
        <v>131</v>
      </c>
      <c r="B16" s="238" t="s">
        <v>337</v>
      </c>
      <c r="C16" s="243"/>
      <c r="D16" s="238">
        <v>146</v>
      </c>
      <c r="E16" s="238">
        <v>100</v>
      </c>
      <c r="F16" s="244">
        <v>46</v>
      </c>
      <c r="G16" s="238"/>
      <c r="H16" s="238"/>
      <c r="I16" s="247"/>
      <c r="J16" s="248"/>
      <c r="K16" s="241"/>
    </row>
    <row r="17" spans="1:11">
      <c r="A17" s="242" t="s">
        <v>338</v>
      </c>
      <c r="B17" s="242"/>
      <c r="C17" s="245">
        <v>773.5</v>
      </c>
      <c r="D17" s="242">
        <v>20</v>
      </c>
      <c r="E17" s="242">
        <v>8</v>
      </c>
      <c r="F17" s="246">
        <v>12</v>
      </c>
      <c r="G17" s="242"/>
      <c r="H17" s="242"/>
      <c r="I17" s="247"/>
      <c r="J17" s="248"/>
      <c r="K17" s="241"/>
    </row>
    <row r="18" spans="1:11" ht="15.75" customHeight="1">
      <c r="A18" s="242" t="s">
        <v>339</v>
      </c>
      <c r="B18" s="242"/>
      <c r="C18" s="245">
        <v>773.5</v>
      </c>
      <c r="D18" s="242">
        <v>15</v>
      </c>
      <c r="E18" s="242">
        <v>13</v>
      </c>
      <c r="F18" s="246">
        <v>2</v>
      </c>
      <c r="G18" s="242"/>
      <c r="H18" s="242"/>
      <c r="I18" s="247"/>
      <c r="J18" s="248"/>
      <c r="K18" s="241"/>
    </row>
    <row r="19" spans="1:11">
      <c r="A19" s="242" t="s">
        <v>340</v>
      </c>
      <c r="B19" s="242"/>
      <c r="C19" s="245">
        <v>773.5</v>
      </c>
      <c r="D19" s="242">
        <v>8</v>
      </c>
      <c r="E19" s="242">
        <v>4</v>
      </c>
      <c r="F19" s="246">
        <v>4</v>
      </c>
      <c r="G19" s="238"/>
      <c r="H19" s="238"/>
      <c r="I19" s="247"/>
      <c r="J19" s="248"/>
      <c r="K19" s="241"/>
    </row>
    <row r="20" spans="1:11">
      <c r="A20" s="242" t="s">
        <v>341</v>
      </c>
      <c r="B20" s="238"/>
      <c r="C20" s="245">
        <v>883</v>
      </c>
      <c r="D20" s="242">
        <v>6</v>
      </c>
      <c r="E20" s="242">
        <v>1</v>
      </c>
      <c r="F20" s="246">
        <v>5</v>
      </c>
      <c r="G20" s="242"/>
      <c r="H20" s="242"/>
      <c r="I20" s="247"/>
      <c r="J20" s="248"/>
      <c r="K20" s="241"/>
    </row>
    <row r="21" spans="1:11">
      <c r="A21" s="242" t="s">
        <v>342</v>
      </c>
      <c r="B21" s="242"/>
      <c r="C21" s="245">
        <v>1190</v>
      </c>
      <c r="D21" s="242">
        <v>2</v>
      </c>
      <c r="E21" s="242">
        <v>1</v>
      </c>
      <c r="F21" s="246">
        <v>1</v>
      </c>
      <c r="G21" s="242"/>
      <c r="H21" s="242"/>
      <c r="I21" s="247"/>
      <c r="J21" s="248"/>
      <c r="K21" s="241"/>
    </row>
    <row r="22" spans="1:11">
      <c r="A22" s="242" t="s">
        <v>343</v>
      </c>
      <c r="B22" s="242"/>
      <c r="C22" s="245">
        <v>1190</v>
      </c>
      <c r="D22" s="242">
        <v>15</v>
      </c>
      <c r="E22" s="242">
        <v>9</v>
      </c>
      <c r="F22" s="246">
        <v>6</v>
      </c>
      <c r="G22" s="242"/>
      <c r="H22" s="242"/>
      <c r="I22" s="247"/>
      <c r="J22" s="248"/>
      <c r="K22" s="241"/>
    </row>
    <row r="23" spans="1:11">
      <c r="A23" s="242" t="s">
        <v>344</v>
      </c>
      <c r="B23" s="242"/>
      <c r="C23" s="245">
        <v>1190</v>
      </c>
      <c r="D23" s="242">
        <v>20</v>
      </c>
      <c r="E23" s="242">
        <v>15</v>
      </c>
      <c r="F23" s="246">
        <v>5</v>
      </c>
      <c r="G23" s="242"/>
      <c r="H23" s="242"/>
      <c r="I23" s="247"/>
      <c r="J23" s="248"/>
      <c r="K23" s="241"/>
    </row>
    <row r="24" spans="1:11">
      <c r="A24" s="242" t="s">
        <v>345</v>
      </c>
      <c r="B24" s="242"/>
      <c r="C24" s="245">
        <v>922.25</v>
      </c>
      <c r="D24" s="242">
        <v>6</v>
      </c>
      <c r="E24" s="242">
        <v>3</v>
      </c>
      <c r="F24" s="246">
        <v>3</v>
      </c>
      <c r="G24" s="242"/>
      <c r="H24" s="242"/>
      <c r="I24" s="247"/>
      <c r="J24" s="248"/>
      <c r="K24" s="241"/>
    </row>
    <row r="25" spans="1:11">
      <c r="A25" s="242" t="s">
        <v>346</v>
      </c>
      <c r="B25" s="242"/>
      <c r="C25" s="245">
        <v>922.25</v>
      </c>
      <c r="D25" s="242">
        <v>3</v>
      </c>
      <c r="E25" s="242">
        <v>2</v>
      </c>
      <c r="F25" s="246">
        <v>1</v>
      </c>
      <c r="G25" s="242"/>
      <c r="H25" s="242"/>
      <c r="I25" s="247"/>
      <c r="J25" s="248"/>
      <c r="K25" s="241"/>
    </row>
    <row r="26" spans="1:11">
      <c r="A26" s="242" t="s">
        <v>347</v>
      </c>
      <c r="B26" s="242"/>
      <c r="C26" s="245">
        <v>922.25</v>
      </c>
      <c r="D26" s="242">
        <v>9</v>
      </c>
      <c r="E26" s="242">
        <v>8</v>
      </c>
      <c r="F26" s="246">
        <v>0</v>
      </c>
      <c r="G26" s="242"/>
      <c r="H26" s="242"/>
      <c r="I26" s="247"/>
      <c r="J26" s="248"/>
      <c r="K26" s="241"/>
    </row>
    <row r="27" spans="1:11">
      <c r="A27" s="242" t="s">
        <v>533</v>
      </c>
      <c r="B27" s="242"/>
      <c r="C27" s="245">
        <v>1190</v>
      </c>
      <c r="D27" s="242">
        <v>1</v>
      </c>
      <c r="E27" s="242">
        <v>1</v>
      </c>
      <c r="F27" s="246">
        <v>0</v>
      </c>
      <c r="G27" s="242"/>
      <c r="H27" s="242"/>
      <c r="I27" s="247"/>
      <c r="J27" s="248"/>
      <c r="K27" s="241"/>
    </row>
    <row r="28" spans="1:11">
      <c r="A28" s="242" t="s">
        <v>348</v>
      </c>
      <c r="B28" s="242"/>
      <c r="C28" s="245">
        <v>1190</v>
      </c>
      <c r="D28" s="242">
        <v>10</v>
      </c>
      <c r="E28" s="242">
        <v>5</v>
      </c>
      <c r="F28" s="246">
        <v>5</v>
      </c>
      <c r="G28" s="242"/>
      <c r="H28" s="242"/>
      <c r="I28" s="247"/>
      <c r="J28" s="248"/>
      <c r="K28" s="241"/>
    </row>
    <row r="29" spans="1:11">
      <c r="A29" s="242" t="s">
        <v>349</v>
      </c>
      <c r="B29" s="242"/>
      <c r="C29" s="245">
        <v>1418</v>
      </c>
      <c r="D29" s="242">
        <v>5</v>
      </c>
      <c r="E29" s="242">
        <v>0</v>
      </c>
      <c r="F29" s="246">
        <v>5</v>
      </c>
      <c r="G29" s="242"/>
      <c r="H29" s="242"/>
      <c r="I29" s="247"/>
      <c r="J29" s="248"/>
      <c r="K29" s="241"/>
    </row>
    <row r="30" spans="1:11">
      <c r="A30" s="242" t="s">
        <v>350</v>
      </c>
      <c r="B30" s="242"/>
      <c r="C30" s="245">
        <v>1636.25</v>
      </c>
      <c r="D30" s="242">
        <v>5</v>
      </c>
      <c r="E30" s="242">
        <v>2</v>
      </c>
      <c r="F30" s="246">
        <v>3</v>
      </c>
      <c r="G30" s="242"/>
      <c r="H30" s="242"/>
      <c r="I30" s="247"/>
      <c r="J30" s="248"/>
      <c r="K30" s="241"/>
    </row>
    <row r="31" spans="1:11">
      <c r="A31" s="242" t="s">
        <v>351</v>
      </c>
      <c r="B31" s="242"/>
      <c r="C31" s="245">
        <v>1428</v>
      </c>
      <c r="D31" s="242">
        <v>4</v>
      </c>
      <c r="E31" s="242">
        <v>2</v>
      </c>
      <c r="F31" s="246">
        <v>2</v>
      </c>
      <c r="G31" s="242"/>
      <c r="H31" s="242"/>
      <c r="I31" s="247"/>
      <c r="J31" s="248"/>
      <c r="K31" s="241"/>
    </row>
    <row r="32" spans="1:11">
      <c r="A32" s="242" t="s">
        <v>531</v>
      </c>
      <c r="B32" s="242"/>
      <c r="C32" s="245">
        <v>1428</v>
      </c>
      <c r="D32" s="242">
        <v>2</v>
      </c>
      <c r="E32" s="242">
        <v>2</v>
      </c>
      <c r="F32" s="246">
        <v>0</v>
      </c>
      <c r="G32" s="242"/>
      <c r="H32" s="242"/>
      <c r="I32" s="247"/>
      <c r="J32" s="248"/>
      <c r="K32" s="241"/>
    </row>
    <row r="33" spans="1:11">
      <c r="A33" s="242" t="s">
        <v>352</v>
      </c>
      <c r="B33" s="242"/>
      <c r="C33" s="245">
        <v>1904</v>
      </c>
      <c r="D33" s="242">
        <v>2</v>
      </c>
      <c r="E33" s="242">
        <v>2</v>
      </c>
      <c r="F33" s="246">
        <v>0</v>
      </c>
      <c r="G33" s="242"/>
      <c r="H33" s="242"/>
      <c r="I33" s="247"/>
      <c r="J33" s="248"/>
      <c r="K33" s="241"/>
    </row>
    <row r="34" spans="1:11">
      <c r="A34" s="242" t="s">
        <v>353</v>
      </c>
      <c r="B34" s="242"/>
      <c r="C34" s="245">
        <v>1428</v>
      </c>
      <c r="D34" s="242">
        <v>2</v>
      </c>
      <c r="E34" s="242">
        <v>1</v>
      </c>
      <c r="F34" s="246">
        <v>1</v>
      </c>
      <c r="G34" s="242"/>
      <c r="H34" s="242"/>
      <c r="I34" s="247"/>
      <c r="J34" s="248"/>
      <c r="K34" s="241"/>
    </row>
    <row r="35" spans="1:11">
      <c r="A35" s="242" t="s">
        <v>532</v>
      </c>
      <c r="B35" s="242"/>
      <c r="C35" s="245">
        <v>1636.25</v>
      </c>
      <c r="D35" s="242">
        <v>6</v>
      </c>
      <c r="E35" s="242">
        <v>6</v>
      </c>
      <c r="F35" s="246">
        <v>0</v>
      </c>
      <c r="G35" s="242"/>
      <c r="H35" s="242"/>
      <c r="I35" s="247"/>
      <c r="J35" s="248"/>
      <c r="K35" s="241"/>
    </row>
    <row r="36" spans="1:11">
      <c r="A36" s="242" t="s">
        <v>354</v>
      </c>
      <c r="B36" s="242"/>
      <c r="C36" s="245">
        <v>1904</v>
      </c>
      <c r="D36" s="242">
        <v>1</v>
      </c>
      <c r="E36" s="242">
        <v>1</v>
      </c>
      <c r="F36" s="246">
        <v>0</v>
      </c>
      <c r="G36" s="242"/>
      <c r="H36" s="242"/>
      <c r="I36" s="247"/>
      <c r="J36" s="248"/>
      <c r="K36" s="241"/>
    </row>
    <row r="37" spans="1:11">
      <c r="A37" s="242" t="s">
        <v>355</v>
      </c>
      <c r="B37" s="242"/>
      <c r="C37" s="245">
        <v>1904</v>
      </c>
      <c r="D37" s="242">
        <v>1</v>
      </c>
      <c r="E37" s="242">
        <v>1</v>
      </c>
      <c r="F37" s="246">
        <v>0</v>
      </c>
      <c r="G37" s="242"/>
      <c r="H37" s="242"/>
      <c r="I37" s="247"/>
      <c r="J37" s="248"/>
      <c r="K37" s="241"/>
    </row>
    <row r="38" spans="1:11">
      <c r="A38" s="242" t="s">
        <v>409</v>
      </c>
      <c r="B38" s="242"/>
      <c r="C38" s="245">
        <f>2082.5*2</f>
        <v>4165</v>
      </c>
      <c r="D38" s="242">
        <v>1</v>
      </c>
      <c r="E38" s="242">
        <v>1</v>
      </c>
      <c r="F38" s="246">
        <v>0</v>
      </c>
      <c r="G38" s="242"/>
      <c r="H38" s="242"/>
      <c r="I38" s="247"/>
      <c r="J38" s="248"/>
      <c r="K38" s="241"/>
    </row>
    <row r="39" spans="1:11">
      <c r="A39" s="242" t="s">
        <v>408</v>
      </c>
      <c r="B39" s="242"/>
      <c r="C39" s="245">
        <f t="shared" ref="C39:C41" si="0">2082.5*2</f>
        <v>4165</v>
      </c>
      <c r="D39" s="242">
        <v>1</v>
      </c>
      <c r="E39" s="242">
        <v>1</v>
      </c>
      <c r="F39" s="246">
        <v>0</v>
      </c>
      <c r="G39" s="242"/>
      <c r="H39" s="242"/>
      <c r="I39" s="247"/>
      <c r="J39" s="248"/>
      <c r="K39" s="241"/>
    </row>
    <row r="40" spans="1:11">
      <c r="A40" s="242" t="s">
        <v>356</v>
      </c>
      <c r="B40" s="242"/>
      <c r="C40" s="245">
        <f t="shared" si="0"/>
        <v>4165</v>
      </c>
      <c r="D40" s="242">
        <v>1</v>
      </c>
      <c r="E40" s="242">
        <v>1</v>
      </c>
      <c r="F40" s="246">
        <v>0</v>
      </c>
      <c r="G40" s="242"/>
      <c r="H40" s="242"/>
      <c r="I40" s="247"/>
      <c r="J40" s="248"/>
      <c r="K40" s="241"/>
    </row>
    <row r="41" spans="1:11">
      <c r="A41" s="242" t="s">
        <v>357</v>
      </c>
      <c r="B41" s="242"/>
      <c r="C41" s="245">
        <f t="shared" si="0"/>
        <v>4165</v>
      </c>
      <c r="D41" s="242">
        <v>1</v>
      </c>
      <c r="E41" s="242">
        <v>1</v>
      </c>
      <c r="F41" s="246">
        <v>0</v>
      </c>
      <c r="G41" s="242"/>
      <c r="H41" s="242"/>
      <c r="I41" s="247"/>
      <c r="J41" s="248"/>
      <c r="K41" s="241"/>
    </row>
    <row r="42" spans="1:11">
      <c r="A42" s="242" t="s">
        <v>358</v>
      </c>
      <c r="B42" s="242"/>
      <c r="C42" s="245">
        <v>3570</v>
      </c>
      <c r="D42" s="242">
        <v>3</v>
      </c>
      <c r="E42" s="242">
        <v>3</v>
      </c>
      <c r="F42" s="246">
        <v>0</v>
      </c>
      <c r="G42" s="242"/>
      <c r="H42" s="242"/>
      <c r="I42" s="247"/>
      <c r="J42" s="248"/>
      <c r="K42" s="241"/>
    </row>
    <row r="43" spans="1:11">
      <c r="A43" s="242" t="s">
        <v>359</v>
      </c>
      <c r="B43" s="242"/>
      <c r="C43" s="245">
        <f>2975*2</f>
        <v>5950</v>
      </c>
      <c r="D43" s="242">
        <v>1</v>
      </c>
      <c r="E43" s="242">
        <v>1</v>
      </c>
      <c r="F43" s="246">
        <v>0</v>
      </c>
      <c r="G43" s="242"/>
      <c r="H43" s="242"/>
      <c r="I43" s="247"/>
      <c r="J43" s="248"/>
      <c r="K43" s="241"/>
    </row>
    <row r="44" spans="1:11">
      <c r="A44" s="242" t="s">
        <v>360</v>
      </c>
      <c r="B44" s="242"/>
      <c r="C44" s="245">
        <v>2975</v>
      </c>
      <c r="D44" s="242">
        <v>1</v>
      </c>
      <c r="E44" s="242">
        <v>1</v>
      </c>
      <c r="F44" s="246">
        <v>0</v>
      </c>
      <c r="G44" s="242"/>
      <c r="H44" s="242"/>
      <c r="I44" s="247"/>
      <c r="J44" s="248"/>
      <c r="K44" s="241"/>
    </row>
    <row r="45" spans="1:11">
      <c r="A45" s="242" t="s">
        <v>361</v>
      </c>
      <c r="B45" s="242"/>
      <c r="C45" s="245">
        <f>3867.5*2</f>
        <v>7735</v>
      </c>
      <c r="D45" s="242">
        <v>1</v>
      </c>
      <c r="E45" s="242">
        <v>1</v>
      </c>
      <c r="F45" s="246">
        <v>0</v>
      </c>
      <c r="G45" s="242"/>
      <c r="H45" s="242"/>
      <c r="I45" s="247"/>
      <c r="J45" s="248"/>
      <c r="K45" s="241"/>
    </row>
    <row r="46" spans="1:11">
      <c r="A46" s="242" t="s">
        <v>362</v>
      </c>
      <c r="B46" s="242"/>
      <c r="C46" s="245">
        <f>3867.5*2</f>
        <v>7735</v>
      </c>
      <c r="D46" s="242">
        <v>2</v>
      </c>
      <c r="E46" s="242">
        <v>1</v>
      </c>
      <c r="F46" s="246">
        <v>1</v>
      </c>
      <c r="G46" s="242"/>
      <c r="H46" s="242"/>
      <c r="I46" s="247"/>
      <c r="J46" s="248"/>
      <c r="K46" s="241"/>
    </row>
    <row r="47" spans="1:11">
      <c r="A47" s="242" t="s">
        <v>363</v>
      </c>
      <c r="B47" s="242"/>
      <c r="C47" s="245">
        <v>4150</v>
      </c>
      <c r="D47" s="242">
        <v>3</v>
      </c>
      <c r="E47" s="242">
        <v>3</v>
      </c>
      <c r="F47" s="246">
        <v>0</v>
      </c>
      <c r="G47" s="242"/>
      <c r="H47" s="242"/>
      <c r="I47" s="247"/>
      <c r="J47" s="248"/>
      <c r="K47" s="241"/>
    </row>
    <row r="48" spans="1:11">
      <c r="A48" s="242" t="s">
        <v>364</v>
      </c>
      <c r="B48" s="242"/>
      <c r="C48" s="245">
        <v>4760</v>
      </c>
      <c r="D48" s="242">
        <v>2</v>
      </c>
      <c r="E48" s="242">
        <v>2</v>
      </c>
      <c r="F48" s="246">
        <v>0</v>
      </c>
      <c r="G48" s="242"/>
      <c r="H48" s="242"/>
      <c r="I48" s="247"/>
      <c r="J48" s="248"/>
      <c r="K48" s="241"/>
    </row>
    <row r="49" spans="1:11">
      <c r="A49" s="242" t="s">
        <v>365</v>
      </c>
      <c r="B49" s="242"/>
      <c r="C49" s="245">
        <v>10115</v>
      </c>
      <c r="D49" s="242">
        <v>2</v>
      </c>
      <c r="E49" s="242">
        <v>1</v>
      </c>
      <c r="F49" s="246">
        <v>1</v>
      </c>
      <c r="G49" s="242"/>
      <c r="H49" s="242"/>
      <c r="I49" s="247"/>
      <c r="J49" s="248"/>
      <c r="K49" s="241"/>
    </row>
    <row r="50" spans="1:11">
      <c r="A50" s="242" t="s">
        <v>476</v>
      </c>
      <c r="B50" s="242"/>
      <c r="C50" s="245">
        <v>3570</v>
      </c>
      <c r="D50" s="242">
        <v>1</v>
      </c>
      <c r="E50" s="242"/>
      <c r="F50" s="246">
        <v>1</v>
      </c>
      <c r="G50" s="242"/>
      <c r="H50" s="242"/>
      <c r="I50" s="247"/>
      <c r="J50" s="248"/>
      <c r="K50" s="241"/>
    </row>
    <row r="51" spans="1:11">
      <c r="A51" s="242"/>
      <c r="B51" s="242"/>
      <c r="C51" s="249"/>
      <c r="D51" s="242"/>
      <c r="E51" s="242"/>
      <c r="F51" s="246"/>
      <c r="G51" s="242"/>
      <c r="H51" s="242"/>
      <c r="I51" s="247"/>
      <c r="J51" s="248"/>
      <c r="K51" s="241"/>
    </row>
    <row r="52" spans="1:11">
      <c r="A52" s="238" t="s">
        <v>366</v>
      </c>
      <c r="B52" s="238" t="s">
        <v>389</v>
      </c>
      <c r="C52" s="249"/>
      <c r="D52" s="242"/>
      <c r="E52" s="242"/>
      <c r="F52" s="246"/>
      <c r="G52" s="242"/>
      <c r="H52" s="242"/>
      <c r="I52" s="247"/>
      <c r="J52" s="248"/>
      <c r="K52" s="241"/>
    </row>
    <row r="53" spans="1:11">
      <c r="A53" s="242" t="s">
        <v>477</v>
      </c>
      <c r="B53" s="238"/>
      <c r="C53" s="245">
        <v>446.15</v>
      </c>
      <c r="D53" s="242">
        <v>1</v>
      </c>
      <c r="E53" s="242">
        <v>1</v>
      </c>
      <c r="F53" s="246">
        <v>0</v>
      </c>
      <c r="G53" s="242"/>
      <c r="H53" s="242"/>
      <c r="I53" s="247"/>
      <c r="J53" s="248"/>
      <c r="K53" s="241"/>
    </row>
    <row r="54" spans="1:11">
      <c r="A54" s="242" t="s">
        <v>367</v>
      </c>
      <c r="B54" s="238"/>
      <c r="C54" s="245">
        <v>446.15</v>
      </c>
      <c r="D54" s="242">
        <v>4</v>
      </c>
      <c r="E54" s="242">
        <v>2</v>
      </c>
      <c r="F54" s="246">
        <v>2</v>
      </c>
      <c r="G54" s="242"/>
      <c r="H54" s="242"/>
      <c r="I54" s="247"/>
      <c r="J54" s="248"/>
      <c r="K54" s="241"/>
    </row>
    <row r="55" spans="1:11">
      <c r="A55" s="242" t="s">
        <v>368</v>
      </c>
      <c r="B55" s="238"/>
      <c r="C55" s="245">
        <v>595</v>
      </c>
      <c r="D55" s="242">
        <v>1</v>
      </c>
      <c r="E55" s="242">
        <v>1</v>
      </c>
      <c r="F55" s="246">
        <v>0</v>
      </c>
      <c r="G55" s="242"/>
      <c r="H55" s="242"/>
      <c r="I55" s="247"/>
      <c r="J55" s="248"/>
      <c r="K55" s="241"/>
    </row>
    <row r="56" spans="1:11">
      <c r="A56" s="242" t="s">
        <v>369</v>
      </c>
      <c r="B56" s="238"/>
      <c r="C56" s="245">
        <v>743.75</v>
      </c>
      <c r="D56" s="242">
        <v>1</v>
      </c>
      <c r="E56" s="242">
        <v>1</v>
      </c>
      <c r="F56" s="246">
        <v>0</v>
      </c>
      <c r="G56" s="242"/>
      <c r="H56" s="242"/>
      <c r="I56" s="247"/>
      <c r="J56" s="248"/>
      <c r="K56" s="241"/>
    </row>
    <row r="57" spans="1:11">
      <c r="A57" s="242" t="s">
        <v>478</v>
      </c>
      <c r="B57" s="238"/>
      <c r="C57" s="245">
        <v>743.75</v>
      </c>
      <c r="D57" s="242">
        <v>1</v>
      </c>
      <c r="E57" s="242">
        <v>1</v>
      </c>
      <c r="F57" s="246">
        <v>0</v>
      </c>
      <c r="G57" s="242"/>
      <c r="H57" s="242"/>
      <c r="I57" s="247"/>
      <c r="J57" s="248"/>
      <c r="K57" s="241"/>
    </row>
    <row r="58" spans="1:11">
      <c r="A58" s="242"/>
      <c r="B58" s="238"/>
      <c r="C58" s="245"/>
      <c r="D58" s="242"/>
      <c r="E58" s="242"/>
      <c r="F58" s="246"/>
      <c r="G58" s="242"/>
      <c r="H58" s="242"/>
      <c r="I58" s="247"/>
      <c r="J58" s="248"/>
      <c r="K58" s="241"/>
    </row>
    <row r="59" spans="1:11">
      <c r="A59" s="242" t="s">
        <v>370</v>
      </c>
      <c r="B59" s="238"/>
      <c r="C59" s="245">
        <v>1190</v>
      </c>
      <c r="D59" s="242">
        <v>4</v>
      </c>
      <c r="E59" s="242">
        <v>4</v>
      </c>
      <c r="F59" s="246">
        <v>0</v>
      </c>
      <c r="G59" s="242"/>
      <c r="H59" s="242"/>
      <c r="I59" s="247"/>
      <c r="J59" s="248"/>
      <c r="K59" s="241"/>
    </row>
    <row r="60" spans="1:11">
      <c r="A60" s="242" t="s">
        <v>371</v>
      </c>
      <c r="B60" s="238"/>
      <c r="C60" s="245">
        <v>1904</v>
      </c>
      <c r="D60" s="242">
        <v>10</v>
      </c>
      <c r="E60" s="242">
        <v>10</v>
      </c>
      <c r="F60" s="246">
        <v>0</v>
      </c>
      <c r="G60" s="242"/>
      <c r="H60" s="242"/>
      <c r="I60" s="247"/>
      <c r="J60" s="248"/>
      <c r="K60" s="241"/>
    </row>
    <row r="61" spans="1:11">
      <c r="A61" s="242" t="s">
        <v>372</v>
      </c>
      <c r="B61" s="238"/>
      <c r="C61" s="245">
        <v>1904</v>
      </c>
      <c r="D61" s="242">
        <v>1</v>
      </c>
      <c r="E61" s="242">
        <v>1</v>
      </c>
      <c r="F61" s="246">
        <v>0</v>
      </c>
      <c r="G61" s="242"/>
      <c r="H61" s="242"/>
      <c r="I61" s="247"/>
      <c r="J61" s="248"/>
      <c r="K61" s="241"/>
    </row>
    <row r="62" spans="1:11">
      <c r="A62" s="242" t="s">
        <v>390</v>
      </c>
      <c r="B62" s="238" t="s">
        <v>391</v>
      </c>
      <c r="C62" s="245">
        <v>1904</v>
      </c>
      <c r="D62" s="242">
        <v>1</v>
      </c>
      <c r="E62" s="242">
        <v>1</v>
      </c>
      <c r="F62" s="246">
        <v>0</v>
      </c>
      <c r="G62" s="242"/>
      <c r="H62" s="242"/>
      <c r="I62" s="247"/>
      <c r="J62" s="248"/>
      <c r="K62" s="241"/>
    </row>
    <row r="63" spans="1:11">
      <c r="A63" s="242" t="s">
        <v>373</v>
      </c>
      <c r="B63" s="238"/>
      <c r="C63" s="245">
        <v>1904</v>
      </c>
      <c r="D63" s="242">
        <v>1</v>
      </c>
      <c r="E63" s="242">
        <v>1</v>
      </c>
      <c r="F63" s="246">
        <v>0</v>
      </c>
      <c r="G63" s="242"/>
      <c r="H63" s="242"/>
      <c r="I63" s="247"/>
      <c r="J63" s="248"/>
      <c r="K63" s="241"/>
    </row>
    <row r="64" spans="1:11">
      <c r="A64" s="242" t="s">
        <v>374</v>
      </c>
      <c r="B64" s="238"/>
      <c r="C64" s="245">
        <v>2677.5</v>
      </c>
      <c r="D64" s="242">
        <v>1</v>
      </c>
      <c r="E64" s="242">
        <v>1</v>
      </c>
      <c r="F64" s="246">
        <v>0</v>
      </c>
      <c r="G64" s="242"/>
      <c r="H64" s="242"/>
      <c r="I64" s="247"/>
      <c r="J64" s="248"/>
      <c r="K64" s="241"/>
    </row>
    <row r="65" spans="1:11">
      <c r="A65" s="242" t="s">
        <v>375</v>
      </c>
      <c r="B65" s="238"/>
      <c r="C65" s="245">
        <v>1904</v>
      </c>
      <c r="D65" s="242">
        <v>1</v>
      </c>
      <c r="E65" s="242">
        <v>0</v>
      </c>
      <c r="F65" s="246">
        <v>1</v>
      </c>
      <c r="G65" s="242"/>
      <c r="H65" s="242"/>
      <c r="I65" s="247"/>
      <c r="J65" s="248"/>
      <c r="K65" s="241"/>
    </row>
    <row r="66" spans="1:11">
      <c r="A66" s="251" t="s">
        <v>376</v>
      </c>
      <c r="B66" s="238"/>
      <c r="C66" s="245">
        <v>3867</v>
      </c>
      <c r="D66" s="242">
        <v>1</v>
      </c>
      <c r="E66" s="242">
        <v>1</v>
      </c>
      <c r="F66" s="246">
        <v>0</v>
      </c>
      <c r="G66" s="242"/>
      <c r="H66" s="242"/>
      <c r="I66" s="247"/>
      <c r="J66" s="248"/>
      <c r="K66" s="241"/>
    </row>
    <row r="67" spans="1:11">
      <c r="A67" s="251" t="s">
        <v>377</v>
      </c>
      <c r="B67" s="238"/>
      <c r="C67" s="250">
        <v>4025.6010000000001</v>
      </c>
      <c r="D67" s="242">
        <v>6</v>
      </c>
      <c r="E67" s="242">
        <v>5</v>
      </c>
      <c r="F67" s="246">
        <v>1</v>
      </c>
      <c r="G67" s="242"/>
      <c r="H67" s="242"/>
      <c r="I67" s="247"/>
      <c r="J67" s="248"/>
      <c r="K67" s="241"/>
    </row>
    <row r="68" spans="1:11">
      <c r="A68" s="251"/>
      <c r="B68" s="238"/>
      <c r="C68" s="250"/>
      <c r="D68" s="242"/>
      <c r="E68" s="242"/>
      <c r="F68" s="246"/>
      <c r="G68" s="242"/>
      <c r="H68" s="242"/>
      <c r="I68" s="247"/>
      <c r="J68" s="248"/>
      <c r="K68" s="241"/>
    </row>
    <row r="69" spans="1:11">
      <c r="A69" s="251" t="s">
        <v>471</v>
      </c>
      <c r="B69" s="238" t="s">
        <v>392</v>
      </c>
      <c r="C69" s="245">
        <v>1896</v>
      </c>
      <c r="D69" s="242">
        <v>1</v>
      </c>
      <c r="E69" s="242">
        <v>1</v>
      </c>
      <c r="F69" s="246">
        <v>0</v>
      </c>
      <c r="G69" s="242"/>
      <c r="H69" s="242"/>
      <c r="I69" s="247"/>
      <c r="J69" s="248"/>
      <c r="K69" s="241"/>
    </row>
    <row r="70" spans="1:11">
      <c r="A70" s="251" t="s">
        <v>393</v>
      </c>
      <c r="B70" s="238"/>
      <c r="C70" s="245">
        <v>1611</v>
      </c>
      <c r="D70" s="242">
        <v>2</v>
      </c>
      <c r="E70" s="242">
        <v>2</v>
      </c>
      <c r="F70" s="246">
        <v>0</v>
      </c>
      <c r="G70" s="242"/>
      <c r="H70" s="242"/>
      <c r="I70" s="247"/>
      <c r="J70" s="248"/>
      <c r="K70" s="241"/>
    </row>
    <row r="71" spans="1:11">
      <c r="A71" s="251" t="s">
        <v>394</v>
      </c>
      <c r="B71" s="238" t="s">
        <v>395</v>
      </c>
      <c r="C71" s="245">
        <v>2654.9</v>
      </c>
      <c r="D71" s="242">
        <v>2</v>
      </c>
      <c r="E71" s="242">
        <v>1</v>
      </c>
      <c r="F71" s="246">
        <v>1</v>
      </c>
      <c r="G71" s="242"/>
      <c r="H71" s="242"/>
      <c r="I71" s="247"/>
      <c r="J71" s="248"/>
      <c r="K71" s="241"/>
    </row>
    <row r="72" spans="1:11">
      <c r="A72" s="251"/>
      <c r="B72" s="238"/>
      <c r="C72" s="250"/>
      <c r="D72" s="242"/>
      <c r="E72" s="242"/>
      <c r="F72" s="246"/>
      <c r="G72" s="242"/>
      <c r="H72" s="242"/>
      <c r="I72" s="247"/>
      <c r="J72" s="248"/>
      <c r="K72" s="241"/>
    </row>
    <row r="73" spans="1:11">
      <c r="A73" s="251" t="s">
        <v>378</v>
      </c>
      <c r="B73" s="238"/>
      <c r="C73" s="250">
        <v>4643.3</v>
      </c>
      <c r="D73" s="242">
        <v>1</v>
      </c>
      <c r="E73" s="242">
        <v>1</v>
      </c>
      <c r="F73" s="246">
        <v>0</v>
      </c>
      <c r="G73" s="242"/>
      <c r="H73" s="242"/>
      <c r="I73" s="247"/>
      <c r="J73" s="248"/>
      <c r="K73" s="241"/>
    </row>
    <row r="74" spans="1:11">
      <c r="A74" s="251" t="s">
        <v>379</v>
      </c>
      <c r="B74" s="238"/>
      <c r="C74" s="250">
        <v>10217.379999999999</v>
      </c>
      <c r="D74" s="242">
        <v>1</v>
      </c>
      <c r="E74" s="242">
        <v>1</v>
      </c>
      <c r="F74" s="246">
        <v>0</v>
      </c>
      <c r="G74" s="242"/>
      <c r="H74" s="242"/>
      <c r="I74" s="247"/>
      <c r="J74" s="248"/>
      <c r="K74" s="241"/>
    </row>
    <row r="75" spans="1:11">
      <c r="A75" s="242"/>
      <c r="B75" s="238"/>
      <c r="C75" s="249"/>
      <c r="D75" s="242"/>
      <c r="E75" s="242"/>
      <c r="F75" s="246"/>
      <c r="G75" s="242"/>
      <c r="H75" s="242"/>
      <c r="I75" s="247"/>
      <c r="J75" s="248"/>
      <c r="K75" s="241"/>
    </row>
    <row r="76" spans="1:11">
      <c r="A76" s="238" t="s">
        <v>192</v>
      </c>
      <c r="B76" s="242"/>
      <c r="C76" s="249"/>
      <c r="D76" s="242"/>
      <c r="E76" s="242"/>
      <c r="F76" s="246"/>
      <c r="G76" s="242"/>
      <c r="H76" s="242"/>
      <c r="I76" s="247"/>
      <c r="J76" s="248"/>
      <c r="K76" s="241"/>
    </row>
    <row r="77" spans="1:11">
      <c r="A77" s="252" t="s">
        <v>148</v>
      </c>
      <c r="B77" s="253"/>
      <c r="C77" s="254">
        <f>SUM(C9:C70)</f>
        <v>128072.97099999999</v>
      </c>
      <c r="D77" s="254"/>
      <c r="E77" s="254"/>
      <c r="F77" s="254"/>
      <c r="G77" s="254"/>
      <c r="H77" s="254"/>
      <c r="I77" s="254"/>
      <c r="J77" s="255"/>
      <c r="K77" s="241"/>
    </row>
    <row r="78" spans="1:11">
      <c r="A78" s="256" t="s">
        <v>475</v>
      </c>
      <c r="B78" s="257"/>
      <c r="C78" s="257"/>
      <c r="D78" s="257"/>
      <c r="E78" s="257" t="s">
        <v>473</v>
      </c>
      <c r="F78" s="257"/>
      <c r="G78" s="257"/>
      <c r="H78" s="257"/>
      <c r="I78" s="419">
        <v>595</v>
      </c>
      <c r="J78" s="257"/>
      <c r="K78" s="257"/>
    </row>
    <row r="79" spans="1:11">
      <c r="A79"/>
      <c r="B79"/>
      <c r="C79"/>
      <c r="D79"/>
      <c r="E79" s="230" t="s">
        <v>474</v>
      </c>
      <c r="F79"/>
      <c r="G79"/>
      <c r="H79"/>
      <c r="I79" s="420">
        <v>948</v>
      </c>
      <c r="J79"/>
      <c r="K79"/>
    </row>
    <row r="80" spans="1:11">
      <c r="A80" s="256" t="s">
        <v>410</v>
      </c>
      <c r="B80" s="257"/>
      <c r="C80" s="257"/>
      <c r="D80" s="257"/>
      <c r="E80" s="257"/>
      <c r="F80" s="257"/>
      <c r="G80" s="257"/>
      <c r="H80" s="257"/>
      <c r="I80" s="257"/>
      <c r="J80" s="257"/>
      <c r="K80" s="257"/>
    </row>
    <row r="81" spans="1:11">
      <c r="A81"/>
      <c r="B81"/>
      <c r="C81"/>
      <c r="D81"/>
      <c r="E81"/>
      <c r="F81"/>
      <c r="G81"/>
      <c r="H81"/>
      <c r="I81"/>
      <c r="J81"/>
      <c r="K81"/>
    </row>
    <row r="82" spans="1:11">
      <c r="A82" s="256" t="s">
        <v>396</v>
      </c>
      <c r="B82" s="434"/>
      <c r="C82" s="434"/>
      <c r="D82" s="434"/>
      <c r="E82" s="434"/>
      <c r="F82" s="434"/>
      <c r="G82" s="434"/>
      <c r="H82" s="434"/>
      <c r="I82" s="434"/>
      <c r="J82" s="257"/>
      <c r="K82" s="257"/>
    </row>
    <row r="83" spans="1:11">
      <c r="A83" s="230" t="s">
        <v>397</v>
      </c>
      <c r="B83" s="230"/>
      <c r="C83" s="230"/>
      <c r="D83" s="230"/>
      <c r="E83" s="230"/>
      <c r="F83" s="230"/>
      <c r="G83" s="230"/>
      <c r="H83" s="230"/>
      <c r="I83" s="230"/>
      <c r="J83"/>
      <c r="K83"/>
    </row>
    <row r="84" spans="1:11">
      <c r="A84"/>
      <c r="B84"/>
      <c r="C84"/>
      <c r="D84"/>
      <c r="E84"/>
      <c r="F84"/>
      <c r="G84"/>
      <c r="H84"/>
      <c r="I84"/>
      <c r="J84"/>
      <c r="K84"/>
    </row>
    <row r="85" spans="1:11">
      <c r="B85" s="27"/>
      <c r="C85" s="27"/>
      <c r="D85" s="257"/>
      <c r="E85" s="257"/>
      <c r="F85" s="257"/>
      <c r="G85" s="257"/>
      <c r="H85" s="257"/>
      <c r="I85" s="257"/>
      <c r="J85" s="257"/>
      <c r="K85" s="257"/>
    </row>
    <row r="86" spans="1:11">
      <c r="B86" s="27"/>
      <c r="C86" s="27"/>
      <c r="D86" s="257"/>
      <c r="E86" s="257"/>
      <c r="F86" s="257"/>
      <c r="G86" s="257"/>
      <c r="H86" s="257"/>
      <c r="I86" s="257"/>
      <c r="J86" s="257"/>
      <c r="K86" s="257"/>
    </row>
    <row r="87" spans="1:11">
      <c r="B87" s="27"/>
      <c r="C87" s="27"/>
      <c r="D87"/>
      <c r="E87"/>
      <c r="F87"/>
      <c r="G87"/>
      <c r="H87"/>
      <c r="I87"/>
      <c r="J87"/>
      <c r="K87"/>
    </row>
    <row r="88" spans="1:11">
      <c r="B88" s="27"/>
      <c r="C88" s="27"/>
      <c r="D88"/>
      <c r="E88"/>
      <c r="F88"/>
      <c r="G88"/>
      <c r="H88"/>
      <c r="I88"/>
      <c r="J88"/>
      <c r="K88"/>
    </row>
    <row r="89" spans="1:11">
      <c r="B89" s="27"/>
      <c r="D89" s="27"/>
      <c r="E89" s="257"/>
      <c r="F89" s="257"/>
      <c r="G89" s="257"/>
      <c r="H89" s="257"/>
      <c r="I89" s="257"/>
      <c r="J89" s="257"/>
      <c r="K89" s="257"/>
    </row>
    <row r="90" spans="1:11">
      <c r="B90" s="27"/>
      <c r="D90" s="27"/>
      <c r="E90" s="257"/>
      <c r="F90" s="257"/>
      <c r="G90" s="257"/>
      <c r="H90" s="257"/>
      <c r="I90" s="257"/>
      <c r="J90" s="257"/>
      <c r="K90" s="257"/>
    </row>
  </sheetData>
  <mergeCells count="12">
    <mergeCell ref="A4:I4"/>
    <mergeCell ref="A1:I1"/>
    <mergeCell ref="A2:I2"/>
    <mergeCell ref="A3:I3"/>
    <mergeCell ref="G7:K7"/>
    <mergeCell ref="E7:E8"/>
    <mergeCell ref="F7:F8"/>
    <mergeCell ref="A5:I5"/>
    <mergeCell ref="A7:A8"/>
    <mergeCell ref="B7:B8"/>
    <mergeCell ref="C7:C8"/>
    <mergeCell ref="D7:D8"/>
  </mergeCells>
  <phoneticPr fontId="6" type="noConversion"/>
  <pageMargins left="0.78740157480314965" right="0.59055118110236227" top="0.98425196850393704" bottom="0.98425196850393704" header="0.51181102362204722" footer="0.51181102362204722"/>
  <pageSetup paperSize="9" scale="75" orientation="landscape" r:id="rId1"/>
  <headerFooter alignWithMargins="0">
    <oddHeader>&amp;LESTADO DO RIO GRANDE DO SUL
PREFEITURA MUNICIPAL DE BOA VSITA DO CADEADO</oddHeader>
  </headerFooter>
</worksheet>
</file>

<file path=xl/worksheets/sheet2.xml><?xml version="1.0" encoding="utf-8"?>
<worksheet xmlns="http://schemas.openxmlformats.org/spreadsheetml/2006/main" xmlns:r="http://schemas.openxmlformats.org/officeDocument/2006/relationships">
  <dimension ref="A2:E40"/>
  <sheetViews>
    <sheetView view="pageLayout" workbookViewId="0">
      <selection activeCell="B80" sqref="B80"/>
    </sheetView>
  </sheetViews>
  <sheetFormatPr defaultRowHeight="12"/>
  <cols>
    <col min="1" max="1" width="59" style="27" customWidth="1"/>
    <col min="2" max="2" width="25.5703125" style="27" customWidth="1"/>
    <col min="3" max="16384" width="9.140625" style="27"/>
  </cols>
  <sheetData>
    <row r="2" spans="1:2">
      <c r="A2" s="453" t="s">
        <v>68</v>
      </c>
      <c r="B2" s="453"/>
    </row>
    <row r="3" spans="1:2">
      <c r="A3" s="453" t="s">
        <v>14</v>
      </c>
      <c r="B3" s="453"/>
    </row>
    <row r="4" spans="1:2">
      <c r="A4" s="453" t="s">
        <v>64</v>
      </c>
      <c r="B4" s="453"/>
    </row>
    <row r="5" spans="1:2">
      <c r="A5" s="454">
        <v>2015</v>
      </c>
      <c r="B5" s="453"/>
    </row>
    <row r="6" spans="1:2">
      <c r="A6" s="41"/>
    </row>
    <row r="7" spans="1:2">
      <c r="A7" s="41"/>
      <c r="B7" s="42" t="s">
        <v>133</v>
      </c>
    </row>
    <row r="8" spans="1:2">
      <c r="A8" s="43" t="s">
        <v>8</v>
      </c>
      <c r="B8" s="44">
        <v>13756000</v>
      </c>
    </row>
    <row r="9" spans="1:2">
      <c r="A9" s="45" t="s">
        <v>12</v>
      </c>
      <c r="B9" s="44">
        <f>SUM(B10:B19)</f>
        <v>170000</v>
      </c>
    </row>
    <row r="10" spans="1:2">
      <c r="A10" s="46" t="s">
        <v>161</v>
      </c>
      <c r="B10" s="44">
        <v>170000</v>
      </c>
    </row>
    <row r="11" spans="1:2">
      <c r="A11" s="46" t="s">
        <v>162</v>
      </c>
      <c r="B11" s="44"/>
    </row>
    <row r="12" spans="1:2">
      <c r="A12" s="46" t="s">
        <v>163</v>
      </c>
      <c r="B12" s="44"/>
    </row>
    <row r="13" spans="1:2">
      <c r="A13" s="46" t="s">
        <v>9</v>
      </c>
      <c r="B13" s="44"/>
    </row>
    <row r="14" spans="1:2">
      <c r="A14" s="46" t="s">
        <v>135</v>
      </c>
      <c r="B14" s="44"/>
    </row>
    <row r="15" spans="1:2">
      <c r="A15" s="46" t="s">
        <v>136</v>
      </c>
      <c r="B15" s="44"/>
    </row>
    <row r="16" spans="1:2">
      <c r="A16" s="46" t="s">
        <v>10</v>
      </c>
      <c r="B16" s="44"/>
    </row>
    <row r="17" spans="1:5" s="48" customFormat="1">
      <c r="A17" s="46" t="s">
        <v>11</v>
      </c>
      <c r="B17" s="47"/>
    </row>
    <row r="18" spans="1:5">
      <c r="A18" s="46" t="s">
        <v>13</v>
      </c>
      <c r="B18" s="44"/>
    </row>
    <row r="19" spans="1:5">
      <c r="A19" s="46" t="s">
        <v>168</v>
      </c>
      <c r="B19" s="44"/>
    </row>
    <row r="20" spans="1:5" ht="14.25" customHeight="1">
      <c r="A20" s="49" t="s">
        <v>164</v>
      </c>
      <c r="B20" s="44">
        <f>B8-B9</f>
        <v>13586000</v>
      </c>
      <c r="E20" s="50"/>
    </row>
    <row r="21" spans="1:5" ht="15.75" customHeight="1">
      <c r="A21" s="49" t="s">
        <v>165</v>
      </c>
      <c r="B21" s="44">
        <v>2700000</v>
      </c>
      <c r="E21" s="50"/>
    </row>
    <row r="22" spans="1:5" ht="15" customHeight="1">
      <c r="A22" s="43" t="s">
        <v>166</v>
      </c>
      <c r="B22" s="44">
        <f>B8-B9+B21</f>
        <v>16286000</v>
      </c>
      <c r="E22" s="50"/>
    </row>
    <row r="23" spans="1:5" ht="12.75" customHeight="1">
      <c r="A23" s="51" t="s">
        <v>243</v>
      </c>
      <c r="E23" s="50"/>
    </row>
    <row r="24" spans="1:5" ht="12.75" customHeight="1">
      <c r="A24" s="52" t="s">
        <v>145</v>
      </c>
      <c r="E24" s="50"/>
    </row>
    <row r="25" spans="1:5" ht="13.5" customHeight="1">
      <c r="A25" s="27" t="s">
        <v>146</v>
      </c>
      <c r="E25" s="50"/>
    </row>
    <row r="26" spans="1:5" ht="14.25" customHeight="1">
      <c r="A26" s="27" t="s">
        <v>143</v>
      </c>
      <c r="E26" s="50"/>
    </row>
    <row r="27" spans="1:5" ht="12.75" customHeight="1">
      <c r="A27" s="27" t="s">
        <v>144</v>
      </c>
      <c r="E27" s="50"/>
    </row>
    <row r="28" spans="1:5">
      <c r="A28" s="27" t="s">
        <v>147</v>
      </c>
    </row>
    <row r="29" spans="1:5">
      <c r="A29" s="27" t="s">
        <v>167</v>
      </c>
    </row>
    <row r="30" spans="1:5">
      <c r="A30" s="27" t="s">
        <v>274</v>
      </c>
    </row>
    <row r="31" spans="1:5">
      <c r="A31" s="27" t="s">
        <v>238</v>
      </c>
    </row>
    <row r="35" spans="1:2" ht="12.75">
      <c r="A35" s="25" t="s">
        <v>489</v>
      </c>
    </row>
    <row r="36" spans="1:2" ht="12.75">
      <c r="A36" s="25"/>
    </row>
    <row r="37" spans="1:2" ht="12.75">
      <c r="A37" s="25"/>
    </row>
    <row r="38" spans="1:2" ht="12.75">
      <c r="A38" s="25"/>
    </row>
    <row r="39" spans="1:2" ht="12.75">
      <c r="A39" s="25" t="s">
        <v>433</v>
      </c>
      <c r="B39" s="27" t="s">
        <v>434</v>
      </c>
    </row>
    <row r="40" spans="1:2" ht="12.75">
      <c r="A40" s="25" t="s">
        <v>239</v>
      </c>
      <c r="B40" s="27" t="s">
        <v>240</v>
      </c>
    </row>
  </sheetData>
  <mergeCells count="4">
    <mergeCell ref="A3:B3"/>
    <mergeCell ref="A4:B4"/>
    <mergeCell ref="A5:B5"/>
    <mergeCell ref="A2:B2"/>
  </mergeCells>
  <phoneticPr fontId="6" type="noConversion"/>
  <pageMargins left="0.78740157499999996" right="0.42" top="0.984251969" bottom="0.984251969" header="0.49212598499999999" footer="0.49212598499999999"/>
  <pageSetup paperSize="9" orientation="portrait" verticalDpi="1200" r:id="rId1"/>
  <headerFooter alignWithMargins="0">
    <oddHeader>&amp;L&amp;"Times New Roman,Normal"ESTADO DO RIO GRANDE DO SUL
PREFEITURA MUNICIPAL DE BOA VISTA DO CADEADO</oddHeader>
  </headerFooter>
</worksheet>
</file>

<file path=xl/worksheets/sheet3.xml><?xml version="1.0" encoding="utf-8"?>
<worksheet xmlns="http://schemas.openxmlformats.org/spreadsheetml/2006/main" xmlns:r="http://schemas.openxmlformats.org/officeDocument/2006/relationships">
  <sheetPr codeName="Plan14"/>
  <dimension ref="A1:J55"/>
  <sheetViews>
    <sheetView view="pageLayout" workbookViewId="0">
      <selection activeCell="B80" sqref="B80"/>
    </sheetView>
  </sheetViews>
  <sheetFormatPr defaultRowHeight="11.25" customHeight="1"/>
  <cols>
    <col min="1" max="1" width="28.85546875" style="20" customWidth="1"/>
    <col min="2" max="2" width="16.85546875" style="20" customWidth="1"/>
    <col min="3" max="3" width="17.140625" style="20" customWidth="1"/>
    <col min="4" max="4" width="13.85546875" style="20" customWidth="1"/>
    <col min="5" max="5" width="14.85546875" style="20" customWidth="1"/>
    <col min="6" max="6" width="16.42578125" style="20" customWidth="1"/>
    <col min="7" max="7" width="14.5703125" style="20" customWidth="1"/>
    <col min="8" max="8" width="15.5703125" style="20" customWidth="1"/>
    <col min="9" max="9" width="15.28515625" style="20" customWidth="1"/>
    <col min="10" max="10" width="9.28515625" style="20" customWidth="1"/>
    <col min="11" max="16384" width="9.140625" style="20"/>
  </cols>
  <sheetData>
    <row r="1" spans="1:10" ht="11.25" customHeight="1">
      <c r="A1" s="2"/>
      <c r="B1" s="2"/>
      <c r="C1" s="2"/>
      <c r="D1" s="2"/>
      <c r="E1" s="2"/>
      <c r="F1" s="2"/>
      <c r="G1" s="2"/>
      <c r="H1" s="2"/>
      <c r="I1" s="2"/>
      <c r="J1" s="2"/>
    </row>
    <row r="2" spans="1:10" ht="13.5" customHeight="1">
      <c r="A2" s="455" t="s">
        <v>23</v>
      </c>
      <c r="B2" s="456"/>
      <c r="C2" s="456"/>
      <c r="D2" s="456"/>
      <c r="E2" s="456"/>
      <c r="F2" s="456"/>
      <c r="G2" s="456"/>
      <c r="H2" s="456"/>
      <c r="I2" s="456"/>
      <c r="J2" s="457"/>
    </row>
    <row r="3" spans="1:10" ht="13.5" customHeight="1">
      <c r="A3" s="455" t="s">
        <v>117</v>
      </c>
      <c r="B3" s="456"/>
      <c r="C3" s="456"/>
      <c r="D3" s="456"/>
      <c r="E3" s="456"/>
      <c r="F3" s="456"/>
      <c r="G3" s="456"/>
      <c r="H3" s="456"/>
      <c r="I3" s="456"/>
      <c r="J3" s="457"/>
    </row>
    <row r="4" spans="1:10" s="53" customFormat="1" ht="17.25" customHeight="1">
      <c r="A4" s="455" t="s">
        <v>171</v>
      </c>
      <c r="B4" s="456"/>
      <c r="C4" s="456"/>
      <c r="D4" s="456"/>
      <c r="E4" s="456"/>
      <c r="F4" s="456"/>
      <c r="G4" s="456"/>
      <c r="H4" s="456"/>
      <c r="I4" s="456"/>
      <c r="J4" s="457"/>
    </row>
    <row r="5" spans="1:10" s="53" customFormat="1" ht="15">
      <c r="A5" s="455" t="s">
        <v>18</v>
      </c>
      <c r="B5" s="456"/>
      <c r="C5" s="456"/>
      <c r="D5" s="456"/>
      <c r="E5" s="456"/>
      <c r="F5" s="456"/>
      <c r="G5" s="456"/>
      <c r="H5" s="456"/>
      <c r="I5" s="456"/>
      <c r="J5" s="457"/>
    </row>
    <row r="6" spans="1:10" ht="11.25" customHeight="1">
      <c r="A6" s="459">
        <v>2015</v>
      </c>
      <c r="B6" s="460"/>
      <c r="C6" s="460"/>
      <c r="D6" s="460"/>
      <c r="E6" s="460"/>
      <c r="F6" s="460"/>
      <c r="G6" s="460"/>
      <c r="H6" s="460"/>
      <c r="I6" s="460"/>
      <c r="J6" s="461"/>
    </row>
    <row r="7" spans="1:10" ht="11.25" customHeight="1">
      <c r="A7" s="462"/>
      <c r="B7" s="462"/>
      <c r="C7" s="462"/>
      <c r="D7" s="462"/>
      <c r="E7" s="462"/>
      <c r="F7" s="462"/>
      <c r="G7" s="462"/>
      <c r="H7" s="462"/>
      <c r="I7" s="462"/>
      <c r="J7" s="462"/>
    </row>
    <row r="8" spans="1:10" ht="11.25" customHeight="1">
      <c r="A8" s="52"/>
      <c r="B8" s="52"/>
      <c r="C8" s="52"/>
      <c r="D8" s="52"/>
      <c r="E8" s="52"/>
      <c r="F8" s="52"/>
      <c r="G8" s="52"/>
      <c r="H8" s="52"/>
      <c r="I8" s="52"/>
      <c r="J8" s="52"/>
    </row>
    <row r="9" spans="1:10" ht="11.25" customHeight="1" thickBot="1">
      <c r="A9" s="283" t="s">
        <v>436</v>
      </c>
      <c r="B9" s="463"/>
      <c r="C9" s="463"/>
      <c r="D9" s="463"/>
      <c r="E9" s="463"/>
      <c r="F9" s="463"/>
      <c r="G9" s="463"/>
      <c r="H9" s="464"/>
      <c r="I9" s="465"/>
      <c r="J9" s="465"/>
    </row>
    <row r="10" spans="1:10" ht="25.5" customHeight="1" thickBot="1">
      <c r="A10" s="466" t="s">
        <v>65</v>
      </c>
      <c r="B10" s="467">
        <v>2015</v>
      </c>
      <c r="C10" s="467"/>
      <c r="D10" s="467"/>
      <c r="E10" s="467">
        <v>2016</v>
      </c>
      <c r="F10" s="467"/>
      <c r="G10" s="467"/>
      <c r="H10" s="467">
        <v>2017</v>
      </c>
      <c r="I10" s="467"/>
      <c r="J10" s="468"/>
    </row>
    <row r="11" spans="1:10" ht="18" customHeight="1" thickBot="1">
      <c r="A11" s="466"/>
      <c r="B11" s="284" t="s">
        <v>70</v>
      </c>
      <c r="C11" s="469" t="s">
        <v>437</v>
      </c>
      <c r="D11" s="284" t="s">
        <v>71</v>
      </c>
      <c r="E11" s="284" t="s">
        <v>70</v>
      </c>
      <c r="F11" s="469" t="s">
        <v>437</v>
      </c>
      <c r="G11" s="284" t="s">
        <v>71</v>
      </c>
      <c r="H11" s="284" t="s">
        <v>70</v>
      </c>
      <c r="I11" s="469" t="s">
        <v>437</v>
      </c>
      <c r="J11" s="285" t="s">
        <v>71</v>
      </c>
    </row>
    <row r="12" spans="1:10" ht="11.25" customHeight="1" thickBot="1">
      <c r="A12" s="466"/>
      <c r="B12" s="286" t="s">
        <v>72</v>
      </c>
      <c r="C12" s="470"/>
      <c r="D12" s="286" t="s">
        <v>73</v>
      </c>
      <c r="E12" s="286" t="s">
        <v>72</v>
      </c>
      <c r="F12" s="470"/>
      <c r="G12" s="286" t="s">
        <v>74</v>
      </c>
      <c r="H12" s="286" t="s">
        <v>72</v>
      </c>
      <c r="I12" s="470"/>
      <c r="J12" s="287" t="s">
        <v>75</v>
      </c>
    </row>
    <row r="13" spans="1:10" ht="11.25" customHeight="1" thickBot="1">
      <c r="A13" s="466"/>
      <c r="B13" s="288" t="s">
        <v>46</v>
      </c>
      <c r="C13" s="471"/>
      <c r="D13" s="286" t="s">
        <v>76</v>
      </c>
      <c r="E13" s="288" t="s">
        <v>47</v>
      </c>
      <c r="F13" s="471"/>
      <c r="G13" s="286" t="s">
        <v>76</v>
      </c>
      <c r="H13" s="288" t="s">
        <v>48</v>
      </c>
      <c r="I13" s="471"/>
      <c r="J13" s="287" t="s">
        <v>76</v>
      </c>
    </row>
    <row r="14" spans="1:10" ht="11.25" customHeight="1">
      <c r="A14" s="289" t="s">
        <v>82</v>
      </c>
      <c r="B14" s="290">
        <v>15000000</v>
      </c>
      <c r="C14" s="411">
        <f t="shared" ref="C14:C21" si="0">B14/1.05</f>
        <v>14285714.285714285</v>
      </c>
      <c r="D14" s="410">
        <f>B14/B$40*100</f>
        <v>3.9980915776202828E-3</v>
      </c>
      <c r="E14" s="414">
        <v>15640000</v>
      </c>
      <c r="F14" s="411">
        <f>E14/1.45</f>
        <v>10786206.896551725</v>
      </c>
      <c r="G14" s="410">
        <f t="shared" ref="G14:G21" si="1">E14/$B$41*100</f>
        <v>3.7904951637256399E-3</v>
      </c>
      <c r="H14" s="414">
        <v>16323000</v>
      </c>
      <c r="I14" s="411">
        <f>H14/1.045</f>
        <v>15620095.693779906</v>
      </c>
      <c r="J14" s="430">
        <f t="shared" ref="J14:J21" si="2">H14/$B$42*100</f>
        <v>3.6102129014849581E-3</v>
      </c>
    </row>
    <row r="15" spans="1:10" ht="11.25" customHeight="1">
      <c r="A15" s="291" t="s">
        <v>83</v>
      </c>
      <c r="B15" s="292">
        <v>14802000</v>
      </c>
      <c r="C15" s="412">
        <f t="shared" si="0"/>
        <v>14097142.857142856</v>
      </c>
      <c r="D15" s="417">
        <f t="shared" ref="D15:D21" si="3">B15/B$40*100</f>
        <v>3.9453167687956946E-3</v>
      </c>
      <c r="E15" s="415">
        <v>15468090</v>
      </c>
      <c r="F15" s="412">
        <f t="shared" ref="F15:F21" si="4">E15/1.045</f>
        <v>14802000.000000002</v>
      </c>
      <c r="G15" s="417">
        <f t="shared" si="1"/>
        <v>3.7488312235980136E-3</v>
      </c>
      <c r="H15" s="415">
        <v>16164154.050000001</v>
      </c>
      <c r="I15" s="412">
        <f t="shared" ref="I15:I21" si="5">H15/1.045</f>
        <v>15468090.000000002</v>
      </c>
      <c r="J15" s="430">
        <f t="shared" si="2"/>
        <v>3.5750804075782845E-3</v>
      </c>
    </row>
    <row r="16" spans="1:10" ht="11.25" customHeight="1">
      <c r="A16" s="291" t="s">
        <v>84</v>
      </c>
      <c r="B16" s="292">
        <v>15000000</v>
      </c>
      <c r="C16" s="412">
        <f t="shared" si="0"/>
        <v>14285714.285714285</v>
      </c>
      <c r="D16" s="417">
        <f t="shared" si="3"/>
        <v>3.9980915776202828E-3</v>
      </c>
      <c r="E16" s="415">
        <v>15640000</v>
      </c>
      <c r="F16" s="412">
        <f t="shared" si="4"/>
        <v>14966507.177033493</v>
      </c>
      <c r="G16" s="417">
        <f t="shared" si="1"/>
        <v>3.7904951637256399E-3</v>
      </c>
      <c r="H16" s="415">
        <v>16323000</v>
      </c>
      <c r="I16" s="412">
        <f t="shared" si="5"/>
        <v>15620095.693779906</v>
      </c>
      <c r="J16" s="430">
        <f t="shared" si="2"/>
        <v>3.6102129014849581E-3</v>
      </c>
    </row>
    <row r="17" spans="1:10" ht="11.25" customHeight="1">
      <c r="A17" s="291" t="s">
        <v>77</v>
      </c>
      <c r="B17" s="292">
        <v>14870000</v>
      </c>
      <c r="C17" s="412">
        <f t="shared" si="0"/>
        <v>14161904.761904761</v>
      </c>
      <c r="D17" s="417">
        <f t="shared" si="3"/>
        <v>3.9634414506142402E-3</v>
      </c>
      <c r="E17" s="415">
        <v>15539150</v>
      </c>
      <c r="F17" s="412">
        <f t="shared" si="4"/>
        <v>14870000.000000002</v>
      </c>
      <c r="G17" s="417">
        <f t="shared" si="1"/>
        <v>3.7660532559723324E-3</v>
      </c>
      <c r="H17" s="415">
        <v>16238411.75</v>
      </c>
      <c r="I17" s="412">
        <f t="shared" si="5"/>
        <v>15539150.000000002</v>
      </c>
      <c r="J17" s="430">
        <f t="shared" si="2"/>
        <v>3.5915042332582818E-3</v>
      </c>
    </row>
    <row r="18" spans="1:10" ht="11.25" customHeight="1">
      <c r="A18" s="291" t="s">
        <v>19</v>
      </c>
      <c r="B18" s="292">
        <v>-68000</v>
      </c>
      <c r="C18" s="412">
        <f t="shared" si="0"/>
        <v>-64761.904761904756</v>
      </c>
      <c r="D18" s="417">
        <f t="shared" si="3"/>
        <v>-1.8124681818545282E-5</v>
      </c>
      <c r="E18" s="415">
        <v>-71060</v>
      </c>
      <c r="F18" s="412">
        <f t="shared" si="4"/>
        <v>-68000</v>
      </c>
      <c r="G18" s="417">
        <f t="shared" si="1"/>
        <v>-1.7222032374318669E-5</v>
      </c>
      <c r="H18" s="415">
        <v>-74257.7</v>
      </c>
      <c r="I18" s="412">
        <f t="shared" si="5"/>
        <v>-71060</v>
      </c>
      <c r="J18" s="430">
        <f t="shared" si="2"/>
        <v>-1.6423825679997523E-5</v>
      </c>
    </row>
    <row r="19" spans="1:10" ht="11.25" customHeight="1">
      <c r="A19" s="291" t="s">
        <v>7</v>
      </c>
      <c r="B19" s="292">
        <v>-136000</v>
      </c>
      <c r="C19" s="412">
        <f t="shared" si="0"/>
        <v>-129523.80952380951</v>
      </c>
      <c r="D19" s="417">
        <f t="shared" si="3"/>
        <v>-3.6249363637090564E-5</v>
      </c>
      <c r="E19" s="415">
        <v>-306079.21000000002</v>
      </c>
      <c r="F19" s="412">
        <f t="shared" si="4"/>
        <v>-292898.7655502393</v>
      </c>
      <c r="G19" s="417">
        <f t="shared" si="1"/>
        <v>-7.4181059157414617E-5</v>
      </c>
      <c r="H19" s="415">
        <v>180673.59</v>
      </c>
      <c r="I19" s="412">
        <f t="shared" si="5"/>
        <v>172893.38755980862</v>
      </c>
      <c r="J19" s="430">
        <f t="shared" si="2"/>
        <v>3.9960186581854049E-5</v>
      </c>
    </row>
    <row r="20" spans="1:10" ht="12" customHeight="1">
      <c r="A20" s="291" t="s">
        <v>85</v>
      </c>
      <c r="B20" s="292">
        <v>0</v>
      </c>
      <c r="C20" s="412">
        <f t="shared" si="0"/>
        <v>0</v>
      </c>
      <c r="D20" s="417">
        <f t="shared" si="3"/>
        <v>0</v>
      </c>
      <c r="E20" s="415">
        <v>0</v>
      </c>
      <c r="F20" s="412">
        <f t="shared" si="4"/>
        <v>0</v>
      </c>
      <c r="G20" s="417">
        <f t="shared" si="1"/>
        <v>0</v>
      </c>
      <c r="H20" s="415">
        <v>0</v>
      </c>
      <c r="I20" s="412">
        <f t="shared" si="5"/>
        <v>0</v>
      </c>
      <c r="J20" s="430">
        <f t="shared" si="2"/>
        <v>0</v>
      </c>
    </row>
    <row r="21" spans="1:10" ht="16.5" customHeight="1" thickBot="1">
      <c r="A21" s="293" t="s">
        <v>20</v>
      </c>
      <c r="B21" s="294">
        <v>-1421500</v>
      </c>
      <c r="C21" s="413">
        <f t="shared" si="0"/>
        <v>-1353809.5238095238</v>
      </c>
      <c r="D21" s="418">
        <f t="shared" si="3"/>
        <v>-3.7888581183914878E-4</v>
      </c>
      <c r="E21" s="416">
        <v>-1721579.21</v>
      </c>
      <c r="F21" s="413">
        <f t="shared" si="4"/>
        <v>-1647444.2200956938</v>
      </c>
      <c r="G21" s="431">
        <f t="shared" si="1"/>
        <v>-4.1724026019665007E-4</v>
      </c>
      <c r="H21" s="416">
        <v>-1546905.6000000001</v>
      </c>
      <c r="I21" s="413">
        <f t="shared" si="5"/>
        <v>-1480292.4401913877</v>
      </c>
      <c r="J21" s="430">
        <f t="shared" si="2"/>
        <v>-3.4213432301043498E-4</v>
      </c>
    </row>
    <row r="22" spans="1:10" ht="11.25" customHeight="1">
      <c r="A22" s="472" t="s">
        <v>244</v>
      </c>
      <c r="B22" s="472"/>
      <c r="C22" s="472"/>
      <c r="D22" s="473"/>
      <c r="E22" s="472"/>
      <c r="F22" s="472"/>
      <c r="G22" s="473"/>
      <c r="H22" s="472"/>
      <c r="I22" s="472"/>
      <c r="J22" s="473"/>
    </row>
    <row r="23" spans="1:10" ht="6" customHeight="1">
      <c r="A23" s="295"/>
      <c r="B23" s="295"/>
      <c r="C23" s="295"/>
      <c r="D23" s="295"/>
      <c r="E23" s="295"/>
      <c r="F23" s="295"/>
      <c r="G23" s="295"/>
      <c r="H23" s="295"/>
      <c r="I23" s="295"/>
      <c r="J23" s="295"/>
    </row>
    <row r="24" spans="1:10" ht="11.25" customHeight="1" thickBot="1">
      <c r="A24" s="474" t="s">
        <v>438</v>
      </c>
      <c r="B24" s="474"/>
      <c r="C24" s="474"/>
      <c r="D24" s="474"/>
      <c r="E24" s="474"/>
      <c r="F24" s="474"/>
      <c r="G24" s="474"/>
      <c r="H24" s="474"/>
      <c r="I24" s="474"/>
      <c r="J24" s="474"/>
    </row>
    <row r="25" spans="1:10" ht="11.25" customHeight="1" thickBot="1">
      <c r="A25" s="475" t="s">
        <v>65</v>
      </c>
      <c r="B25" s="476"/>
      <c r="C25" s="476"/>
      <c r="D25" s="477"/>
      <c r="E25" s="478">
        <v>2015</v>
      </c>
      <c r="F25" s="479"/>
      <c r="G25" s="478">
        <v>2016</v>
      </c>
      <c r="H25" s="479"/>
      <c r="I25" s="478">
        <v>2017</v>
      </c>
      <c r="J25" s="479"/>
    </row>
    <row r="26" spans="1:10" ht="11.25" customHeight="1">
      <c r="A26" s="485" t="s">
        <v>439</v>
      </c>
      <c r="B26" s="486"/>
      <c r="C26" s="486"/>
      <c r="D26" s="487"/>
      <c r="E26" s="488">
        <v>4</v>
      </c>
      <c r="F26" s="489"/>
      <c r="G26" s="490">
        <v>4.5</v>
      </c>
      <c r="H26" s="491"/>
      <c r="I26" s="492">
        <v>4.5</v>
      </c>
      <c r="J26" s="493"/>
    </row>
    <row r="27" spans="1:10" ht="11.25" customHeight="1">
      <c r="A27" s="494" t="s">
        <v>440</v>
      </c>
      <c r="B27" s="495"/>
      <c r="C27" s="495"/>
      <c r="D27" s="496"/>
      <c r="E27" s="497">
        <v>5</v>
      </c>
      <c r="F27" s="498"/>
      <c r="G27" s="499">
        <v>4.5</v>
      </c>
      <c r="H27" s="500"/>
      <c r="I27" s="499">
        <v>4.5</v>
      </c>
      <c r="J27" s="500"/>
    </row>
    <row r="28" spans="1:10" ht="11.25" customHeight="1" thickBot="1">
      <c r="A28" s="480" t="s">
        <v>441</v>
      </c>
      <c r="B28" s="481"/>
      <c r="C28" s="481"/>
      <c r="D28" s="482"/>
      <c r="E28" s="483">
        <v>375179000</v>
      </c>
      <c r="F28" s="484"/>
      <c r="G28" s="483">
        <v>412611000</v>
      </c>
      <c r="H28" s="484"/>
      <c r="I28" s="483">
        <v>452134000</v>
      </c>
      <c r="J28" s="484"/>
    </row>
    <row r="29" spans="1:10" ht="11.25" customHeight="1">
      <c r="A29" s="295"/>
      <c r="B29" s="295"/>
      <c r="C29" s="295"/>
      <c r="D29" s="295"/>
      <c r="E29" s="295"/>
      <c r="F29" s="295"/>
      <c r="G29" s="295"/>
      <c r="H29" s="295"/>
      <c r="I29" s="295"/>
      <c r="J29" s="295"/>
    </row>
    <row r="30" spans="1:10" ht="11.25" customHeight="1">
      <c r="A30" s="20" t="s">
        <v>141</v>
      </c>
    </row>
    <row r="31" spans="1:10" ht="11.25" customHeight="1">
      <c r="A31" s="452" t="s">
        <v>528</v>
      </c>
      <c r="B31" s="452"/>
      <c r="C31" s="452"/>
      <c r="D31" s="452"/>
      <c r="E31" s="452"/>
      <c r="F31" s="452"/>
      <c r="G31" s="452"/>
      <c r="H31" s="452"/>
      <c r="I31" s="452"/>
      <c r="J31" s="452"/>
    </row>
    <row r="32" spans="1:10" ht="11.25" customHeight="1">
      <c r="A32" s="168"/>
      <c r="B32" s="450"/>
      <c r="C32" s="450"/>
      <c r="D32" s="25"/>
      <c r="E32" s="25"/>
      <c r="F32" s="25"/>
      <c r="G32" s="25"/>
      <c r="H32" s="25"/>
      <c r="I32" s="25"/>
      <c r="J32" s="25"/>
    </row>
    <row r="33" spans="1:10" ht="11.25" customHeight="1">
      <c r="A33" s="458" t="s">
        <v>522</v>
      </c>
      <c r="B33" s="458"/>
      <c r="C33" s="409"/>
      <c r="D33" s="231" t="s">
        <v>421</v>
      </c>
      <c r="E33" s="25"/>
      <c r="F33" s="25"/>
      <c r="G33" s="231" t="s">
        <v>426</v>
      </c>
      <c r="H33" s="25"/>
      <c r="I33" s="25"/>
      <c r="J33" s="25"/>
    </row>
    <row r="34" spans="1:10" ht="11.25" customHeight="1">
      <c r="A34" s="282"/>
      <c r="B34" s="25"/>
      <c r="C34" s="25"/>
      <c r="D34" s="145"/>
      <c r="E34" s="25"/>
      <c r="F34" s="25"/>
      <c r="G34" s="145"/>
      <c r="H34" s="25"/>
      <c r="I34" s="25"/>
      <c r="J34" s="25"/>
    </row>
    <row r="35" spans="1:10" ht="11.25" customHeight="1">
      <c r="A35" s="282">
        <v>2010</v>
      </c>
      <c r="B35" s="408">
        <v>252483000000</v>
      </c>
      <c r="C35" s="25"/>
      <c r="D35" s="145" t="s">
        <v>422</v>
      </c>
      <c r="E35" s="25"/>
      <c r="F35" s="25"/>
      <c r="G35" s="145" t="s">
        <v>427</v>
      </c>
      <c r="H35" s="25"/>
      <c r="I35" s="25"/>
      <c r="J35" s="25"/>
    </row>
    <row r="36" spans="1:10" ht="11.25" customHeight="1">
      <c r="A36" s="282">
        <v>2011</v>
      </c>
      <c r="B36" s="408">
        <v>263633000000</v>
      </c>
      <c r="C36" s="25"/>
      <c r="D36" s="145" t="s">
        <v>423</v>
      </c>
      <c r="E36" s="25"/>
      <c r="F36" s="25"/>
      <c r="G36" s="145" t="s">
        <v>428</v>
      </c>
      <c r="H36" s="25"/>
      <c r="I36" s="25"/>
      <c r="J36" s="25"/>
    </row>
    <row r="37" spans="1:10" ht="11.25" customHeight="1">
      <c r="A37" s="282">
        <v>2012</v>
      </c>
      <c r="B37" s="408">
        <v>272569000000</v>
      </c>
      <c r="C37" s="25"/>
      <c r="D37" s="145" t="s">
        <v>424</v>
      </c>
      <c r="E37" s="25"/>
      <c r="F37" s="25"/>
      <c r="G37" s="145" t="s">
        <v>525</v>
      </c>
      <c r="H37" s="25"/>
      <c r="I37" s="25"/>
      <c r="J37" s="25"/>
    </row>
    <row r="38" spans="1:10" ht="11.25" customHeight="1">
      <c r="A38" s="282">
        <v>2013</v>
      </c>
      <c r="B38" s="408">
        <v>310508000000</v>
      </c>
      <c r="C38" s="25"/>
      <c r="D38" s="145" t="s">
        <v>425</v>
      </c>
      <c r="E38" s="25"/>
      <c r="F38" s="25"/>
      <c r="G38" s="145" t="s">
        <v>425</v>
      </c>
      <c r="H38" s="25"/>
      <c r="I38" s="25"/>
      <c r="J38" s="25"/>
    </row>
    <row r="39" spans="1:10" ht="11.25" customHeight="1">
      <c r="A39" s="282">
        <v>2014</v>
      </c>
      <c r="B39" s="408">
        <v>341296000000</v>
      </c>
      <c r="C39" s="25"/>
      <c r="D39" s="424" t="s">
        <v>524</v>
      </c>
      <c r="E39" s="25"/>
      <c r="F39" s="25"/>
      <c r="G39" s="424" t="s">
        <v>523</v>
      </c>
      <c r="H39" s="25"/>
      <c r="I39" s="25"/>
      <c r="J39" s="25"/>
    </row>
    <row r="40" spans="1:10" ht="11.25" customHeight="1">
      <c r="A40" s="282">
        <v>2015</v>
      </c>
      <c r="B40" s="408">
        <v>375179000000</v>
      </c>
      <c r="C40" s="21"/>
      <c r="D40" s="25"/>
      <c r="E40" s="25"/>
      <c r="F40" s="25"/>
      <c r="G40" s="25"/>
      <c r="H40" s="25"/>
      <c r="I40" s="25"/>
      <c r="J40" s="25"/>
    </row>
    <row r="41" spans="1:10" ht="15" customHeight="1">
      <c r="A41" s="282">
        <v>2016</v>
      </c>
      <c r="B41" s="408">
        <v>412611000000</v>
      </c>
      <c r="C41" s="25"/>
      <c r="D41" s="25"/>
      <c r="E41" s="25"/>
      <c r="F41" s="25"/>
      <c r="G41" s="25"/>
      <c r="H41" s="25"/>
      <c r="I41" s="25"/>
      <c r="J41" s="25"/>
    </row>
    <row r="42" spans="1:10" ht="11.25" customHeight="1">
      <c r="A42" s="145">
        <v>2017</v>
      </c>
      <c r="B42" s="429">
        <v>452134000000</v>
      </c>
      <c r="C42" s="25"/>
      <c r="D42" s="25"/>
      <c r="E42" s="25"/>
      <c r="F42" s="25"/>
      <c r="G42" s="25"/>
      <c r="H42" s="25"/>
      <c r="I42" s="25"/>
      <c r="J42" s="25"/>
    </row>
    <row r="43" spans="1:10" ht="11.25" customHeight="1">
      <c r="A43" s="25"/>
      <c r="B43" s="25"/>
      <c r="C43" s="25"/>
      <c r="D43" s="25"/>
      <c r="E43" s="25"/>
      <c r="F43" s="25"/>
      <c r="G43" s="25"/>
      <c r="H43" s="25"/>
      <c r="I43" s="25"/>
      <c r="J43" s="25"/>
    </row>
    <row r="44" spans="1:10" ht="11.25" customHeight="1">
      <c r="A44" s="25" t="s">
        <v>430</v>
      </c>
      <c r="B44" s="25"/>
      <c r="C44" s="25"/>
      <c r="D44" s="25"/>
      <c r="E44" s="25"/>
      <c r="F44" s="25"/>
      <c r="G44" s="25"/>
      <c r="H44" s="25"/>
      <c r="I44" s="25"/>
      <c r="J44" s="25"/>
    </row>
    <row r="45" spans="1:10" ht="11.25" customHeight="1">
      <c r="A45" s="25" t="s">
        <v>237</v>
      </c>
      <c r="B45" s="25"/>
      <c r="C45" s="25"/>
      <c r="D45" s="25"/>
      <c r="E45" s="25"/>
      <c r="F45" s="25"/>
      <c r="G45" s="25"/>
      <c r="H45" s="25"/>
      <c r="I45" s="25"/>
      <c r="J45" s="25"/>
    </row>
    <row r="46" spans="1:10" ht="11.25" customHeight="1">
      <c r="A46" s="25" t="s">
        <v>490</v>
      </c>
      <c r="B46" s="25"/>
      <c r="C46" s="25"/>
      <c r="D46" s="25"/>
      <c r="E46" s="25"/>
      <c r="F46" s="25"/>
      <c r="G46" s="25"/>
      <c r="H46" s="25"/>
      <c r="I46" s="25"/>
      <c r="J46" s="25"/>
    </row>
    <row r="47" spans="1:10" ht="11.25" customHeight="1">
      <c r="A47" s="25" t="s">
        <v>273</v>
      </c>
      <c r="B47" s="25"/>
      <c r="C47" s="25"/>
      <c r="D47" s="25"/>
      <c r="E47" s="25"/>
      <c r="F47" s="25"/>
      <c r="G47" s="25"/>
      <c r="H47" s="25"/>
      <c r="I47" s="25"/>
      <c r="J47" s="25"/>
    </row>
    <row r="48" spans="1:10" ht="11.25" customHeight="1">
      <c r="A48" s="25"/>
      <c r="B48" s="25"/>
      <c r="C48" s="25"/>
      <c r="D48" s="25"/>
      <c r="E48" s="25"/>
      <c r="F48" s="25"/>
      <c r="G48" s="25"/>
      <c r="H48" s="25"/>
      <c r="I48" s="25"/>
      <c r="J48" s="25"/>
    </row>
    <row r="49" spans="1:10" ht="11.25" customHeight="1">
      <c r="A49" s="25" t="s">
        <v>497</v>
      </c>
      <c r="B49" s="25"/>
      <c r="C49" s="25"/>
      <c r="D49" s="25"/>
      <c r="E49" s="25"/>
      <c r="F49" s="25"/>
      <c r="G49" s="25"/>
      <c r="H49" s="25"/>
      <c r="I49" s="25"/>
      <c r="J49" s="25"/>
    </row>
    <row r="50" spans="1:10" ht="11.25" customHeight="1">
      <c r="A50" s="25"/>
      <c r="B50" s="25"/>
      <c r="C50" s="25"/>
      <c r="D50" s="25"/>
      <c r="E50" s="25"/>
      <c r="F50" s="25"/>
      <c r="G50" s="25"/>
      <c r="H50" s="25"/>
      <c r="I50" s="25"/>
      <c r="J50" s="25"/>
    </row>
    <row r="51" spans="1:10" ht="11.25" customHeight="1">
      <c r="A51" s="25"/>
      <c r="B51" s="25"/>
      <c r="C51" s="25"/>
      <c r="D51" s="25"/>
      <c r="E51" s="25"/>
      <c r="F51" s="25"/>
      <c r="G51" s="25"/>
      <c r="H51" s="25"/>
      <c r="I51" s="25"/>
      <c r="J51" s="25"/>
    </row>
    <row r="52" spans="1:10" ht="11.25" customHeight="1">
      <c r="A52" s="25" t="s">
        <v>432</v>
      </c>
      <c r="B52" s="25"/>
      <c r="C52" s="25" t="s">
        <v>235</v>
      </c>
      <c r="D52" s="25"/>
      <c r="E52" s="25"/>
      <c r="F52" s="27" t="s">
        <v>429</v>
      </c>
      <c r="G52" s="25"/>
      <c r="H52" s="25"/>
      <c r="I52" s="25"/>
      <c r="J52" s="25"/>
    </row>
    <row r="53" spans="1:10" ht="11.25" customHeight="1">
      <c r="A53" s="25" t="s">
        <v>234</v>
      </c>
      <c r="B53" s="25"/>
      <c r="C53" s="25" t="s">
        <v>236</v>
      </c>
      <c r="D53" s="25"/>
      <c r="E53" s="25"/>
      <c r="F53" s="27" t="s">
        <v>240</v>
      </c>
      <c r="G53" s="25"/>
      <c r="H53" s="25"/>
      <c r="I53" s="25"/>
      <c r="J53" s="25"/>
    </row>
    <row r="54" spans="1:10" ht="11.25" customHeight="1">
      <c r="A54" s="10"/>
      <c r="B54" s="25"/>
      <c r="C54" s="25"/>
      <c r="D54" s="25"/>
      <c r="E54" s="25"/>
      <c r="F54" s="25"/>
      <c r="G54" s="25"/>
      <c r="H54" s="25"/>
    </row>
    <row r="55" spans="1:10" ht="11.25" customHeight="1">
      <c r="A55" s="10"/>
      <c r="B55" s="25"/>
      <c r="C55" s="25"/>
      <c r="D55" s="25"/>
      <c r="E55" s="25"/>
      <c r="F55" s="25"/>
      <c r="G55" s="25"/>
      <c r="H55" s="25"/>
    </row>
  </sheetData>
  <mergeCells count="37">
    <mergeCell ref="A25:D25"/>
    <mergeCell ref="E25:F25"/>
    <mergeCell ref="G25:H25"/>
    <mergeCell ref="I25:J25"/>
    <mergeCell ref="A28:D28"/>
    <mergeCell ref="E28:F28"/>
    <mergeCell ref="G28:H28"/>
    <mergeCell ref="I28:J28"/>
    <mergeCell ref="A26:D26"/>
    <mergeCell ref="E26:F26"/>
    <mergeCell ref="G26:H26"/>
    <mergeCell ref="I26:J26"/>
    <mergeCell ref="A27:D27"/>
    <mergeCell ref="E27:F27"/>
    <mergeCell ref="G27:H27"/>
    <mergeCell ref="I27:J27"/>
    <mergeCell ref="C11:C13"/>
    <mergeCell ref="F11:F13"/>
    <mergeCell ref="I11:I13"/>
    <mergeCell ref="A22:J22"/>
    <mergeCell ref="A24:J24"/>
    <mergeCell ref="A2:J2"/>
    <mergeCell ref="A3:J3"/>
    <mergeCell ref="A4:J4"/>
    <mergeCell ref="A33:B33"/>
    <mergeCell ref="A31:J31"/>
    <mergeCell ref="B32:C32"/>
    <mergeCell ref="A5:J5"/>
    <mergeCell ref="A6:J6"/>
    <mergeCell ref="A7:J7"/>
    <mergeCell ref="B9:D9"/>
    <mergeCell ref="E9:G9"/>
    <mergeCell ref="H9:J9"/>
    <mergeCell ref="A10:A13"/>
    <mergeCell ref="B10:D10"/>
    <mergeCell ref="E10:G10"/>
    <mergeCell ref="H10:J10"/>
  </mergeCells>
  <phoneticPr fontId="6" type="noConversion"/>
  <pageMargins left="0.78740157480314965" right="0.78740157480314965" top="0.98425196850393704" bottom="0.98425196850393704" header="0.51181102362204722" footer="0.51181102362204722"/>
  <pageSetup paperSize="9" scale="70" orientation="landscape" r:id="rId1"/>
  <headerFooter alignWithMargins="0">
    <oddHeader xml:space="preserve">&amp;LESTADO DO RIO GRANDE DO SUL
PREFEITURA MUNICIPAL DE BOA VISTA DO CADEADO
</oddHeader>
  </headerFooter>
</worksheet>
</file>

<file path=xl/worksheets/sheet4.xml><?xml version="1.0" encoding="utf-8"?>
<worksheet xmlns="http://schemas.openxmlformats.org/spreadsheetml/2006/main" xmlns:r="http://schemas.openxmlformats.org/officeDocument/2006/relationships">
  <sheetPr codeName="Plan9"/>
  <dimension ref="A1:J77"/>
  <sheetViews>
    <sheetView view="pageLayout" topLeftCell="A37" workbookViewId="0">
      <selection activeCell="B80" sqref="B80"/>
    </sheetView>
  </sheetViews>
  <sheetFormatPr defaultColWidth="7.85546875" defaultRowHeight="11.25" customHeight="1"/>
  <cols>
    <col min="1" max="1" width="43.85546875" style="8" customWidth="1"/>
    <col min="2" max="2" width="11.85546875" style="8" customWidth="1"/>
    <col min="3" max="3" width="12.85546875" style="8" customWidth="1"/>
    <col min="4" max="4" width="12.7109375" style="8" customWidth="1"/>
    <col min="5" max="8" width="13.140625" style="8" customWidth="1"/>
    <col min="9" max="9" width="0.140625" style="8" customWidth="1"/>
    <col min="10" max="10" width="13.7109375" style="8" customWidth="1"/>
    <col min="11" max="16384" width="7.85546875" style="8"/>
  </cols>
  <sheetData>
    <row r="1" spans="1:10" ht="11.25" customHeight="1">
      <c r="A1" s="508" t="s">
        <v>68</v>
      </c>
      <c r="B1" s="508"/>
      <c r="C1" s="508"/>
      <c r="D1" s="508"/>
      <c r="E1" s="508"/>
      <c r="F1" s="508"/>
      <c r="G1" s="508"/>
      <c r="H1" s="369"/>
      <c r="I1" s="369"/>
      <c r="J1" s="369"/>
    </row>
    <row r="2" spans="1:10" ht="11.25" customHeight="1">
      <c r="A2" s="509" t="s">
        <v>117</v>
      </c>
      <c r="B2" s="509"/>
      <c r="C2" s="509"/>
      <c r="D2" s="509"/>
      <c r="E2" s="509"/>
      <c r="F2" s="509"/>
      <c r="G2" s="509"/>
      <c r="H2" s="370"/>
      <c r="I2" s="370"/>
      <c r="J2" s="370"/>
    </row>
    <row r="3" spans="1:10" ht="13.5" customHeight="1">
      <c r="A3" s="510" t="s">
        <v>171</v>
      </c>
      <c r="B3" s="511"/>
      <c r="C3" s="511"/>
      <c r="D3" s="511"/>
      <c r="E3" s="511"/>
      <c r="F3" s="511"/>
      <c r="G3" s="511"/>
      <c r="H3" s="371"/>
      <c r="I3" s="371"/>
      <c r="J3" s="371"/>
    </row>
    <row r="4" spans="1:10" ht="21" customHeight="1">
      <c r="A4" s="514" t="s">
        <v>467</v>
      </c>
      <c r="B4" s="515"/>
      <c r="C4" s="515"/>
      <c r="D4" s="515"/>
      <c r="E4" s="515"/>
      <c r="F4" s="515"/>
      <c r="G4" s="516"/>
      <c r="H4" s="372"/>
      <c r="I4" s="372"/>
      <c r="J4" s="372"/>
    </row>
    <row r="5" spans="1:10" ht="12" customHeight="1">
      <c r="A5" s="505">
        <v>2015</v>
      </c>
      <c r="B5" s="506"/>
      <c r="C5" s="506"/>
      <c r="D5" s="506"/>
      <c r="E5" s="506"/>
      <c r="F5" s="506"/>
      <c r="G5" s="507"/>
      <c r="H5" s="133"/>
      <c r="I5" s="133"/>
      <c r="J5" s="133"/>
    </row>
    <row r="6" spans="1:10" ht="13.5" customHeight="1">
      <c r="A6" s="23"/>
      <c r="B6" s="23"/>
      <c r="C6" s="23"/>
      <c r="D6" s="23"/>
      <c r="E6" s="23"/>
      <c r="F6" s="23"/>
      <c r="G6" s="23"/>
      <c r="H6" s="23"/>
      <c r="I6" s="23"/>
      <c r="J6" s="24"/>
    </row>
    <row r="7" spans="1:10" ht="13.5" customHeight="1" thickBot="1">
      <c r="A7" s="296" t="s">
        <v>442</v>
      </c>
      <c r="B7" s="296"/>
      <c r="C7" s="296"/>
      <c r="D7" s="296"/>
      <c r="E7" s="296"/>
      <c r="F7" s="376" t="s">
        <v>468</v>
      </c>
      <c r="G7" s="375">
        <v>4.4999999999999998E-2</v>
      </c>
      <c r="H7" s="23"/>
      <c r="I7" s="23"/>
      <c r="J7" s="24"/>
    </row>
    <row r="8" spans="1:10" ht="13.5" customHeight="1">
      <c r="A8" s="502" t="s">
        <v>49</v>
      </c>
      <c r="B8" s="422">
        <v>2012</v>
      </c>
      <c r="C8" s="422">
        <v>2013</v>
      </c>
      <c r="D8" s="422">
        <v>2014</v>
      </c>
      <c r="E8" s="422">
        <v>2015</v>
      </c>
      <c r="F8" s="512">
        <v>2016</v>
      </c>
      <c r="G8" s="512">
        <v>2017</v>
      </c>
      <c r="H8" s="23"/>
      <c r="I8" s="23"/>
      <c r="J8" s="24"/>
    </row>
    <row r="9" spans="1:10" ht="13.5" customHeight="1" thickBot="1">
      <c r="A9" s="503"/>
      <c r="B9" s="423"/>
      <c r="C9" s="423"/>
      <c r="D9" s="423"/>
      <c r="E9" s="423"/>
      <c r="F9" s="513"/>
      <c r="G9" s="513"/>
      <c r="H9" s="23"/>
      <c r="I9" s="23"/>
      <c r="J9" s="24"/>
    </row>
    <row r="10" spans="1:10" ht="13.5" customHeight="1" thickBot="1">
      <c r="A10" s="298" t="s">
        <v>61</v>
      </c>
      <c r="B10" s="358">
        <f t="shared" ref="B10:E10" si="0">B11+B12+B15+B18+B21</f>
        <v>11567357.689999998</v>
      </c>
      <c r="C10" s="358">
        <f t="shared" si="0"/>
        <v>13194688.01</v>
      </c>
      <c r="D10" s="358">
        <f t="shared" si="0"/>
        <v>13108000</v>
      </c>
      <c r="E10" s="358">
        <f t="shared" si="0"/>
        <v>14692000</v>
      </c>
      <c r="F10" s="359">
        <f>(E10*G$7)+E10</f>
        <v>15353140</v>
      </c>
      <c r="G10" s="359">
        <f>(F10*H$7)+F10</f>
        <v>15353140</v>
      </c>
      <c r="H10" s="23"/>
      <c r="I10" s="23"/>
      <c r="J10" s="24"/>
    </row>
    <row r="11" spans="1:10" ht="13.5" customHeight="1" thickBot="1">
      <c r="A11" s="299" t="s">
        <v>50</v>
      </c>
      <c r="B11" s="359">
        <v>628576.04</v>
      </c>
      <c r="C11" s="359">
        <v>814321.82</v>
      </c>
      <c r="D11" s="359">
        <v>745000</v>
      </c>
      <c r="E11" s="359">
        <v>710000</v>
      </c>
      <c r="F11" s="359">
        <f>(E11*$G$7)+E11</f>
        <v>741950</v>
      </c>
      <c r="G11" s="359">
        <f>(F11*$G$7)+F11</f>
        <v>775337.75</v>
      </c>
      <c r="H11" s="23"/>
      <c r="I11" s="23"/>
      <c r="J11" s="24"/>
    </row>
    <row r="12" spans="1:10" ht="13.5" customHeight="1" thickBot="1">
      <c r="A12" s="299" t="s">
        <v>43</v>
      </c>
      <c r="B12" s="359">
        <f t="shared" ref="B12:E12" si="1">B13+B14</f>
        <v>0</v>
      </c>
      <c r="C12" s="359">
        <f t="shared" si="1"/>
        <v>0</v>
      </c>
      <c r="D12" s="359">
        <f t="shared" si="1"/>
        <v>0</v>
      </c>
      <c r="E12" s="359">
        <f t="shared" si="1"/>
        <v>0</v>
      </c>
      <c r="F12" s="359">
        <f t="shared" ref="F12:F16" si="2">(E12*G$7)+E12</f>
        <v>0</v>
      </c>
      <c r="G12" s="359">
        <f t="shared" ref="G12:G34" si="3">(F12*H$7)+F12</f>
        <v>0</v>
      </c>
      <c r="H12" s="23"/>
      <c r="I12" s="23"/>
      <c r="J12" s="24"/>
    </row>
    <row r="13" spans="1:10" ht="13.5" customHeight="1" thickBot="1">
      <c r="A13" s="299" t="s">
        <v>51</v>
      </c>
      <c r="B13" s="359"/>
      <c r="C13" s="359"/>
      <c r="D13" s="359"/>
      <c r="E13" s="359">
        <v>0</v>
      </c>
      <c r="F13" s="359">
        <f t="shared" si="2"/>
        <v>0</v>
      </c>
      <c r="G13" s="359">
        <f t="shared" si="3"/>
        <v>0</v>
      </c>
      <c r="H13" s="23"/>
      <c r="I13" s="23"/>
      <c r="J13" s="24"/>
    </row>
    <row r="14" spans="1:10" ht="13.5" customHeight="1" thickBot="1">
      <c r="A14" s="299" t="s">
        <v>52</v>
      </c>
      <c r="B14" s="359"/>
      <c r="C14" s="359"/>
      <c r="D14" s="359"/>
      <c r="E14" s="359">
        <v>0</v>
      </c>
      <c r="F14" s="359">
        <f t="shared" si="2"/>
        <v>0</v>
      </c>
      <c r="G14" s="359">
        <f t="shared" si="3"/>
        <v>0</v>
      </c>
      <c r="H14" s="23"/>
      <c r="I14" s="23"/>
      <c r="J14" s="24"/>
    </row>
    <row r="15" spans="1:10" ht="13.5" customHeight="1" thickBot="1">
      <c r="A15" s="299" t="s">
        <v>30</v>
      </c>
      <c r="B15" s="359">
        <f t="shared" ref="B15:E15" si="4">B16-B17</f>
        <v>0</v>
      </c>
      <c r="C15" s="359">
        <f t="shared" si="4"/>
        <v>0</v>
      </c>
      <c r="D15" s="359">
        <f t="shared" si="4"/>
        <v>0</v>
      </c>
      <c r="E15" s="359">
        <f t="shared" si="4"/>
        <v>0</v>
      </c>
      <c r="F15" s="359">
        <f t="shared" si="2"/>
        <v>0</v>
      </c>
      <c r="G15" s="359">
        <f t="shared" si="3"/>
        <v>0</v>
      </c>
      <c r="H15" s="23"/>
      <c r="I15" s="23"/>
      <c r="J15" s="24"/>
    </row>
    <row r="16" spans="1:10" ht="13.5" customHeight="1" thickBot="1">
      <c r="A16" s="299" t="s">
        <v>24</v>
      </c>
      <c r="B16" s="359">
        <v>115385.09</v>
      </c>
      <c r="C16" s="359">
        <f>C17</f>
        <v>95446.99</v>
      </c>
      <c r="D16" s="359">
        <f>D17</f>
        <v>72000</v>
      </c>
      <c r="E16" s="359">
        <f>E17</f>
        <v>105000</v>
      </c>
      <c r="F16" s="359">
        <f t="shared" si="2"/>
        <v>109725</v>
      </c>
      <c r="G16" s="359">
        <f>(F16*$G$7)+F16</f>
        <v>114662.625</v>
      </c>
      <c r="H16" s="23"/>
      <c r="I16" s="23"/>
      <c r="J16" s="24"/>
    </row>
    <row r="17" spans="1:10" ht="13.5" customHeight="1" thickBot="1">
      <c r="A17" s="299" t="s">
        <v>25</v>
      </c>
      <c r="B17" s="359">
        <v>115385.09</v>
      </c>
      <c r="C17" s="359">
        <v>95446.99</v>
      </c>
      <c r="D17" s="359">
        <v>72000</v>
      </c>
      <c r="E17" s="359">
        <v>105000</v>
      </c>
      <c r="F17" s="359">
        <f>(E17*$G$7)+E17</f>
        <v>109725</v>
      </c>
      <c r="G17" s="359">
        <f>(F17*$G$7)+F17</f>
        <v>114662.625</v>
      </c>
      <c r="H17" s="23"/>
      <c r="I17" s="23"/>
      <c r="J17" s="24"/>
    </row>
    <row r="18" spans="1:10" ht="13.5" customHeight="1" thickBot="1">
      <c r="A18" s="299" t="s">
        <v>66</v>
      </c>
      <c r="B18" s="359">
        <f t="shared" ref="B18:E18" si="5">B19+B20</f>
        <v>10782783.289999999</v>
      </c>
      <c r="C18" s="359">
        <f t="shared" si="5"/>
        <v>12172974.4</v>
      </c>
      <c r="D18" s="359">
        <f t="shared" si="5"/>
        <v>12191500</v>
      </c>
      <c r="E18" s="359">
        <f t="shared" si="5"/>
        <v>13952000</v>
      </c>
      <c r="F18" s="359">
        <f t="shared" ref="F18" si="6">(E18*G$7)+E18</f>
        <v>14579840</v>
      </c>
      <c r="G18" s="359">
        <f t="shared" si="3"/>
        <v>14579840</v>
      </c>
      <c r="H18" s="23"/>
      <c r="I18" s="23"/>
      <c r="J18" s="24"/>
    </row>
    <row r="19" spans="1:10" ht="13.5" customHeight="1" thickBot="1">
      <c r="A19" s="299" t="s">
        <v>28</v>
      </c>
      <c r="B19" s="359">
        <v>31713.99</v>
      </c>
      <c r="C19" s="359">
        <v>65712.67</v>
      </c>
      <c r="D19" s="359">
        <v>65000</v>
      </c>
      <c r="E19" s="359">
        <v>150000</v>
      </c>
      <c r="F19" s="359">
        <f>(E19*$G$7)+E19</f>
        <v>156750</v>
      </c>
      <c r="G19" s="359">
        <f>(F19*$G$7)+F19</f>
        <v>163803.75</v>
      </c>
      <c r="H19" s="23"/>
      <c r="I19" s="23"/>
      <c r="J19" s="24"/>
    </row>
    <row r="20" spans="1:10" ht="13.5" customHeight="1" thickBot="1">
      <c r="A20" s="299" t="s">
        <v>67</v>
      </c>
      <c r="B20" s="359">
        <f>10782783.29-31713.99</f>
        <v>10751069.299999999</v>
      </c>
      <c r="C20" s="359">
        <f>12172974.4-65712.67</f>
        <v>12107261.73</v>
      </c>
      <c r="D20" s="359">
        <f>12191500-65000</f>
        <v>12126500</v>
      </c>
      <c r="E20" s="359">
        <f>16313000-2700000+189000</f>
        <v>13802000</v>
      </c>
      <c r="F20" s="359">
        <f>(E20*G$7)+E20</f>
        <v>14423090</v>
      </c>
      <c r="G20" s="359">
        <f t="shared" si="3"/>
        <v>14423090</v>
      </c>
      <c r="H20" s="23"/>
      <c r="I20" s="23"/>
      <c r="J20" s="24"/>
    </row>
    <row r="21" spans="1:10" ht="13.5" customHeight="1" thickBot="1">
      <c r="A21" s="299" t="s">
        <v>31</v>
      </c>
      <c r="B21" s="359">
        <f t="shared" ref="B21:E21" si="7">B22+B23</f>
        <v>155998.35999999999</v>
      </c>
      <c r="C21" s="359">
        <f t="shared" si="7"/>
        <v>207391.78999999998</v>
      </c>
      <c r="D21" s="359">
        <f t="shared" si="7"/>
        <v>171500</v>
      </c>
      <c r="E21" s="359">
        <f t="shared" si="7"/>
        <v>30000</v>
      </c>
      <c r="F21" s="359">
        <f>(E21*$G$7)+E21</f>
        <v>31350</v>
      </c>
      <c r="G21" s="359">
        <f>(F21*$G$7)+F21</f>
        <v>32760.75</v>
      </c>
      <c r="H21" s="23"/>
      <c r="I21" s="23"/>
      <c r="J21" s="24"/>
    </row>
    <row r="22" spans="1:10" ht="13.5" customHeight="1" thickBot="1">
      <c r="A22" s="299" t="s">
        <v>26</v>
      </c>
      <c r="B22" s="359">
        <v>31713.99</v>
      </c>
      <c r="C22" s="359">
        <v>7086.36</v>
      </c>
      <c r="D22" s="359">
        <v>22000</v>
      </c>
      <c r="E22" s="359">
        <v>0</v>
      </c>
      <c r="F22" s="359">
        <f>(E22*$G$7)+E22</f>
        <v>0</v>
      </c>
      <c r="G22" s="359">
        <f>(F22*$G$7)+F22</f>
        <v>0</v>
      </c>
      <c r="H22" s="23"/>
      <c r="I22" s="23"/>
      <c r="J22" s="24"/>
    </row>
    <row r="23" spans="1:10" ht="13.5" customHeight="1" thickBot="1">
      <c r="A23" s="299" t="s">
        <v>27</v>
      </c>
      <c r="B23" s="359">
        <v>124284.37</v>
      </c>
      <c r="C23" s="359">
        <v>200305.43</v>
      </c>
      <c r="D23" s="359">
        <v>149500</v>
      </c>
      <c r="E23" s="359">
        <v>30000</v>
      </c>
      <c r="F23" s="359">
        <f t="shared" ref="F23" si="8">(E23*G$7)+E23</f>
        <v>31350</v>
      </c>
      <c r="G23" s="359">
        <f t="shared" si="3"/>
        <v>31350</v>
      </c>
      <c r="H23" s="23"/>
      <c r="I23" s="23"/>
      <c r="J23" s="24"/>
    </row>
    <row r="24" spans="1:10" ht="13.5" customHeight="1" thickBot="1">
      <c r="A24" s="298" t="s">
        <v>113</v>
      </c>
      <c r="B24" s="359">
        <f t="shared" ref="B24:G24" si="9">B25+B26+B27+B28+B31</f>
        <v>290969.32</v>
      </c>
      <c r="C24" s="359">
        <f t="shared" si="9"/>
        <v>311531.24</v>
      </c>
      <c r="D24" s="359">
        <f t="shared" si="9"/>
        <v>120000</v>
      </c>
      <c r="E24" s="359">
        <f t="shared" si="9"/>
        <v>203000</v>
      </c>
      <c r="F24" s="359">
        <f t="shared" ref="F24:F31" si="10">(E24*$G$7)+E24</f>
        <v>212135</v>
      </c>
      <c r="G24" s="359">
        <f t="shared" si="9"/>
        <v>221681.07500000001</v>
      </c>
      <c r="H24" s="23"/>
      <c r="I24" s="23"/>
      <c r="J24" s="24"/>
    </row>
    <row r="25" spans="1:10" ht="13.5" customHeight="1" thickBot="1">
      <c r="A25" s="299" t="s">
        <v>32</v>
      </c>
      <c r="B25" s="359"/>
      <c r="C25" s="359"/>
      <c r="D25" s="359"/>
      <c r="E25" s="359">
        <v>0</v>
      </c>
      <c r="F25" s="359">
        <f t="shared" si="10"/>
        <v>0</v>
      </c>
      <c r="G25" s="359">
        <f t="shared" ref="G25:G33" si="11">(F25*$G$7)+F25</f>
        <v>0</v>
      </c>
      <c r="H25" s="23"/>
      <c r="I25" s="23"/>
      <c r="J25" s="24"/>
    </row>
    <row r="26" spans="1:10" ht="13.5" customHeight="1" thickBot="1">
      <c r="A26" s="299" t="s">
        <v>33</v>
      </c>
      <c r="B26" s="359">
        <v>12024.32</v>
      </c>
      <c r="C26" s="359">
        <v>85831.24</v>
      </c>
      <c r="D26" s="359">
        <v>120000</v>
      </c>
      <c r="E26" s="359">
        <v>93000</v>
      </c>
      <c r="F26" s="359">
        <f t="shared" si="10"/>
        <v>97185</v>
      </c>
      <c r="G26" s="359">
        <f t="shared" si="11"/>
        <v>101558.325</v>
      </c>
      <c r="H26" s="23"/>
      <c r="I26" s="23"/>
      <c r="J26" s="24"/>
    </row>
    <row r="27" spans="1:10" ht="13.5" customHeight="1" thickBot="1">
      <c r="A27" s="299" t="s">
        <v>42</v>
      </c>
      <c r="B27" s="359"/>
      <c r="C27" s="359"/>
      <c r="D27" s="359"/>
      <c r="E27" s="359">
        <v>0</v>
      </c>
      <c r="F27" s="359">
        <f t="shared" si="10"/>
        <v>0</v>
      </c>
      <c r="G27" s="359">
        <f t="shared" si="11"/>
        <v>0</v>
      </c>
      <c r="H27" s="23"/>
      <c r="I27" s="23"/>
      <c r="J27" s="24"/>
    </row>
    <row r="28" spans="1:10" ht="13.5" customHeight="1" thickBot="1">
      <c r="A28" s="299" t="s">
        <v>34</v>
      </c>
      <c r="B28" s="359">
        <f t="shared" ref="B28:E28" si="12">B29+B30</f>
        <v>278945</v>
      </c>
      <c r="C28" s="359">
        <f t="shared" si="12"/>
        <v>225700</v>
      </c>
      <c r="D28" s="359">
        <f t="shared" si="12"/>
        <v>0</v>
      </c>
      <c r="E28" s="359">
        <f t="shared" si="12"/>
        <v>110000</v>
      </c>
      <c r="F28" s="359">
        <f t="shared" si="10"/>
        <v>114950</v>
      </c>
      <c r="G28" s="359">
        <f t="shared" si="11"/>
        <v>120122.75</v>
      </c>
      <c r="H28" s="23"/>
      <c r="I28" s="23"/>
      <c r="J28" s="24"/>
    </row>
    <row r="29" spans="1:10" ht="13.5" customHeight="1" thickBot="1">
      <c r="A29" s="299" t="s">
        <v>28</v>
      </c>
      <c r="B29" s="358">
        <v>177500</v>
      </c>
      <c r="C29" s="358">
        <v>225700</v>
      </c>
      <c r="D29" s="358"/>
      <c r="E29" s="359">
        <v>110000</v>
      </c>
      <c r="F29" s="359">
        <f t="shared" si="10"/>
        <v>114950</v>
      </c>
      <c r="G29" s="359">
        <f t="shared" si="11"/>
        <v>120122.75</v>
      </c>
      <c r="H29" s="23"/>
      <c r="I29" s="23"/>
      <c r="J29" s="24"/>
    </row>
    <row r="30" spans="1:10" ht="13.5" customHeight="1" thickBot="1">
      <c r="A30" s="299" t="s">
        <v>29</v>
      </c>
      <c r="B30" s="359">
        <v>101445</v>
      </c>
      <c r="C30" s="359"/>
      <c r="D30" s="359"/>
      <c r="E30" s="359">
        <v>0</v>
      </c>
      <c r="F30" s="359">
        <f t="shared" si="10"/>
        <v>0</v>
      </c>
      <c r="G30" s="359">
        <f t="shared" si="11"/>
        <v>0</v>
      </c>
      <c r="H30" s="23"/>
      <c r="I30" s="23"/>
      <c r="J30" s="24"/>
    </row>
    <row r="31" spans="1:10" ht="13.5" customHeight="1" thickBot="1">
      <c r="A31" s="299" t="s">
        <v>110</v>
      </c>
      <c r="B31" s="359"/>
      <c r="C31" s="359"/>
      <c r="D31" s="359">
        <v>0</v>
      </c>
      <c r="E31" s="359">
        <v>0</v>
      </c>
      <c r="F31" s="359">
        <f t="shared" si="10"/>
        <v>0</v>
      </c>
      <c r="G31" s="359">
        <f t="shared" si="11"/>
        <v>0</v>
      </c>
      <c r="H31" s="23"/>
      <c r="I31" s="23"/>
      <c r="J31" s="24"/>
    </row>
    <row r="32" spans="1:10" ht="13.5" customHeight="1" thickBot="1">
      <c r="A32" s="298" t="s">
        <v>62</v>
      </c>
      <c r="B32" s="359">
        <f t="shared" ref="B32:F32" si="13">B24-B25-B26-B27</f>
        <v>278945</v>
      </c>
      <c r="C32" s="359">
        <f t="shared" si="13"/>
        <v>225700</v>
      </c>
      <c r="D32" s="359">
        <f t="shared" si="13"/>
        <v>0</v>
      </c>
      <c r="E32" s="359">
        <f t="shared" si="13"/>
        <v>110000</v>
      </c>
      <c r="F32" s="359">
        <f t="shared" si="13"/>
        <v>114950</v>
      </c>
      <c r="G32" s="359">
        <f t="shared" si="11"/>
        <v>120122.75</v>
      </c>
      <c r="H32" s="23"/>
      <c r="I32" s="23"/>
      <c r="J32" s="24"/>
    </row>
    <row r="33" spans="1:10" ht="13.5" customHeight="1" thickBot="1">
      <c r="A33" s="298" t="s">
        <v>53</v>
      </c>
      <c r="B33" s="359">
        <f t="shared" ref="B33:E33" si="14">B10+B32</f>
        <v>11846302.689999998</v>
      </c>
      <c r="C33" s="359">
        <f t="shared" si="14"/>
        <v>13420388.01</v>
      </c>
      <c r="D33" s="359">
        <f t="shared" si="14"/>
        <v>13108000</v>
      </c>
      <c r="E33" s="359">
        <f t="shared" si="14"/>
        <v>14802000</v>
      </c>
      <c r="F33" s="359">
        <f>(E33*$G$7)+E33</f>
        <v>15468090</v>
      </c>
      <c r="G33" s="359">
        <f t="shared" si="11"/>
        <v>16164154.050000001</v>
      </c>
      <c r="H33" s="23"/>
      <c r="I33" s="23"/>
      <c r="J33" s="24"/>
    </row>
    <row r="34" spans="1:10" ht="13.5" customHeight="1" thickBot="1">
      <c r="A34" s="300"/>
      <c r="B34" s="361"/>
      <c r="C34" s="361"/>
      <c r="D34" s="361"/>
      <c r="E34" s="359"/>
      <c r="F34" s="359">
        <f t="shared" ref="F34" si="15">(E34*G$7)+E34</f>
        <v>0</v>
      </c>
      <c r="G34" s="359">
        <f t="shared" si="3"/>
        <v>0</v>
      </c>
      <c r="H34" s="23"/>
      <c r="I34" s="23"/>
      <c r="J34" s="24"/>
    </row>
    <row r="35" spans="1:10" ht="13.5" customHeight="1">
      <c r="A35" s="301" t="s">
        <v>54</v>
      </c>
      <c r="B35" s="373">
        <v>2012</v>
      </c>
      <c r="C35" s="373">
        <v>2013</v>
      </c>
      <c r="D35" s="373">
        <v>2014</v>
      </c>
      <c r="E35" s="373">
        <v>2015</v>
      </c>
      <c r="F35" s="374">
        <v>2016</v>
      </c>
      <c r="G35" s="374">
        <v>2017</v>
      </c>
      <c r="H35" s="23"/>
      <c r="I35" s="23"/>
      <c r="J35" s="24"/>
    </row>
    <row r="36" spans="1:10" ht="13.5" customHeight="1" thickBot="1">
      <c r="A36" s="302"/>
      <c r="B36" s="362"/>
      <c r="C36" s="362"/>
      <c r="D36" s="362"/>
      <c r="E36" s="377"/>
      <c r="F36" s="378"/>
      <c r="G36" s="378"/>
      <c r="H36" s="23"/>
      <c r="I36" s="23"/>
      <c r="J36" s="24"/>
    </row>
    <row r="37" spans="1:10" ht="13.5" customHeight="1" thickBot="1">
      <c r="A37" s="298" t="s">
        <v>114</v>
      </c>
      <c r="B37" s="363">
        <f t="shared" ref="B37:F37" si="16">B38+B39+B40</f>
        <v>9592210.6500000004</v>
      </c>
      <c r="C37" s="363">
        <f t="shared" si="16"/>
        <v>11330709.010000002</v>
      </c>
      <c r="D37" s="364">
        <f t="shared" si="16"/>
        <v>12234841.030000001</v>
      </c>
      <c r="E37" s="379">
        <f t="shared" si="16"/>
        <v>10950000</v>
      </c>
      <c r="F37" s="380">
        <f t="shared" si="16"/>
        <v>11400950</v>
      </c>
      <c r="G37" s="380">
        <f t="shared" ref="G37" si="17">G38+G39+G40</f>
        <v>11913992.75</v>
      </c>
      <c r="H37" s="23"/>
      <c r="I37" s="23"/>
      <c r="J37" s="24"/>
    </row>
    <row r="38" spans="1:10" ht="13.5" customHeight="1" thickBot="1">
      <c r="A38" s="303" t="s">
        <v>111</v>
      </c>
      <c r="B38" s="365">
        <v>5109229.01</v>
      </c>
      <c r="C38" s="365">
        <v>6082182.0700000003</v>
      </c>
      <c r="D38" s="366">
        <v>6198710</v>
      </c>
      <c r="E38" s="381">
        <v>5960000</v>
      </c>
      <c r="F38" s="359">
        <f t="shared" ref="F38:G40" si="18">(E38*$G$7)+E38</f>
        <v>6228200</v>
      </c>
      <c r="G38" s="359">
        <f t="shared" si="18"/>
        <v>6508469</v>
      </c>
      <c r="H38" s="23"/>
      <c r="I38" s="23"/>
      <c r="J38" s="24"/>
    </row>
    <row r="39" spans="1:10" ht="13.5" customHeight="1" thickBot="1">
      <c r="A39" s="299" t="s">
        <v>35</v>
      </c>
      <c r="B39" s="367">
        <v>86738.07</v>
      </c>
      <c r="C39" s="367">
        <v>55186.83</v>
      </c>
      <c r="D39" s="368">
        <v>43000</v>
      </c>
      <c r="E39" s="381">
        <v>40000</v>
      </c>
      <c r="F39" s="359">
        <v>0</v>
      </c>
      <c r="G39" s="359">
        <f t="shared" si="18"/>
        <v>0</v>
      </c>
      <c r="H39" s="23"/>
      <c r="I39" s="23"/>
      <c r="J39" s="24"/>
    </row>
    <row r="40" spans="1:10" ht="13.5" customHeight="1" thickBot="1">
      <c r="A40" s="299" t="s">
        <v>112</v>
      </c>
      <c r="B40" s="367">
        <v>4396243.57</v>
      </c>
      <c r="C40" s="367">
        <v>5193340.1100000003</v>
      </c>
      <c r="D40" s="368">
        <v>5993131.0300000003</v>
      </c>
      <c r="E40" s="381">
        <v>4950000</v>
      </c>
      <c r="F40" s="359">
        <f t="shared" si="18"/>
        <v>5172750</v>
      </c>
      <c r="G40" s="359">
        <f t="shared" si="18"/>
        <v>5405523.75</v>
      </c>
      <c r="H40" s="23"/>
      <c r="I40" s="23"/>
      <c r="J40" s="24"/>
    </row>
    <row r="41" spans="1:10" ht="13.5" customHeight="1" thickBot="1">
      <c r="A41" s="298" t="s">
        <v>55</v>
      </c>
      <c r="B41" s="359">
        <f t="shared" ref="B41:F41" si="19">B37-B39</f>
        <v>9505472.5800000001</v>
      </c>
      <c r="C41" s="359">
        <f t="shared" si="19"/>
        <v>11275522.180000002</v>
      </c>
      <c r="D41" s="360">
        <f t="shared" si="19"/>
        <v>12191841.030000001</v>
      </c>
      <c r="E41" s="381">
        <f t="shared" si="19"/>
        <v>10910000</v>
      </c>
      <c r="F41" s="382">
        <f t="shared" si="19"/>
        <v>11400950</v>
      </c>
      <c r="G41" s="382">
        <f t="shared" ref="G41" si="20">G37-G39</f>
        <v>11913992.75</v>
      </c>
      <c r="H41" s="23"/>
      <c r="I41" s="23"/>
      <c r="J41" s="24"/>
    </row>
    <row r="42" spans="1:10" ht="13.5" customHeight="1" thickBot="1">
      <c r="A42" s="298" t="s">
        <v>115</v>
      </c>
      <c r="B42" s="359">
        <f>B43+B44+B48</f>
        <v>3406802.17</v>
      </c>
      <c r="C42" s="359">
        <f>C43+C44+C48</f>
        <v>1432053.79</v>
      </c>
      <c r="D42" s="359">
        <f>D43+D44+D48</f>
        <v>4088923.16</v>
      </c>
      <c r="E42" s="381">
        <f t="shared" ref="E42:F42" si="21">E43+E44</f>
        <v>3900000</v>
      </c>
      <c r="F42" s="382">
        <f t="shared" si="21"/>
        <v>4075500</v>
      </c>
      <c r="G42" s="382">
        <f t="shared" ref="G42" si="22">G43+G44</f>
        <v>4258897.5</v>
      </c>
      <c r="H42" s="23"/>
      <c r="I42" s="23"/>
      <c r="J42" s="24"/>
    </row>
    <row r="43" spans="1:10" ht="13.5" customHeight="1" thickBot="1">
      <c r="A43" s="299" t="s">
        <v>39</v>
      </c>
      <c r="B43" s="359">
        <f>3020947.13</f>
        <v>3020947.13</v>
      </c>
      <c r="C43" s="359">
        <v>1064494.55</v>
      </c>
      <c r="D43" s="360">
        <v>3718923.16</v>
      </c>
      <c r="E43" s="381">
        <v>3810000</v>
      </c>
      <c r="F43" s="359">
        <f>(E43*$G$7)+E43</f>
        <v>3981450</v>
      </c>
      <c r="G43" s="359">
        <f>(F43*$G$7)+F43</f>
        <v>4160615.25</v>
      </c>
      <c r="H43" s="23"/>
      <c r="I43" s="23"/>
      <c r="J43" s="24"/>
    </row>
    <row r="44" spans="1:10" ht="13.5" customHeight="1" thickBot="1">
      <c r="A44" s="299" t="s">
        <v>6</v>
      </c>
      <c r="B44" s="359">
        <f t="shared" ref="B44:F44" si="23">B45+B46+B47</f>
        <v>110855</v>
      </c>
      <c r="C44" s="359">
        <f t="shared" si="23"/>
        <v>92559.2</v>
      </c>
      <c r="D44" s="360">
        <f t="shared" si="23"/>
        <v>100000</v>
      </c>
      <c r="E44" s="381">
        <f t="shared" si="23"/>
        <v>90000</v>
      </c>
      <c r="F44" s="382">
        <f t="shared" si="23"/>
        <v>94050</v>
      </c>
      <c r="G44" s="382">
        <f t="shared" ref="G44" si="24">G45+G46+G47</f>
        <v>98282.25</v>
      </c>
      <c r="H44" s="23"/>
      <c r="I44" s="23"/>
      <c r="J44" s="24"/>
    </row>
    <row r="45" spans="1:10" ht="13.5" customHeight="1" thickBot="1">
      <c r="A45" s="299" t="s">
        <v>36</v>
      </c>
      <c r="B45" s="359">
        <v>110855</v>
      </c>
      <c r="C45" s="359">
        <v>92559.2</v>
      </c>
      <c r="D45" s="360">
        <v>100000</v>
      </c>
      <c r="E45" s="381">
        <v>90000</v>
      </c>
      <c r="F45" s="359">
        <f>(E45*$G$7)+E45</f>
        <v>94050</v>
      </c>
      <c r="G45" s="359">
        <f>(F45*$G$7)+F45</f>
        <v>98282.25</v>
      </c>
      <c r="H45" s="23"/>
      <c r="I45" s="23"/>
      <c r="J45" s="24"/>
    </row>
    <row r="46" spans="1:10" ht="13.5" customHeight="1" thickBot="1">
      <c r="A46" s="299" t="s">
        <v>37</v>
      </c>
      <c r="B46" s="359"/>
      <c r="C46" s="359"/>
      <c r="D46" s="360"/>
      <c r="E46" s="381"/>
      <c r="F46" s="382">
        <f t="shared" ref="F46:F47" si="25">(E46*G$7)+E46</f>
        <v>0</v>
      </c>
      <c r="G46" s="382">
        <f t="shared" ref="G46:G47" si="26">(F46*H$7)+F46</f>
        <v>0</v>
      </c>
      <c r="H46" s="23"/>
      <c r="I46" s="23"/>
      <c r="J46" s="24"/>
    </row>
    <row r="47" spans="1:10" ht="13.5" customHeight="1" thickBot="1">
      <c r="A47" s="299" t="s">
        <v>38</v>
      </c>
      <c r="B47" s="359"/>
      <c r="C47" s="359"/>
      <c r="D47" s="360"/>
      <c r="E47" s="381"/>
      <c r="F47" s="382">
        <f t="shared" si="25"/>
        <v>0</v>
      </c>
      <c r="G47" s="382">
        <f t="shared" si="26"/>
        <v>0</v>
      </c>
      <c r="H47" s="23"/>
      <c r="I47" s="23"/>
      <c r="J47" s="24"/>
    </row>
    <row r="48" spans="1:10" ht="13.5" customHeight="1" thickBot="1">
      <c r="A48" s="299" t="s">
        <v>40</v>
      </c>
      <c r="B48" s="359">
        <v>275000.03999999998</v>
      </c>
      <c r="C48" s="359">
        <v>275000.03999999998</v>
      </c>
      <c r="D48" s="360">
        <v>270000</v>
      </c>
      <c r="E48" s="381">
        <v>0</v>
      </c>
      <c r="F48" s="359">
        <f t="shared" ref="F48:G50" si="27">(E48*$G$7)+E48</f>
        <v>0</v>
      </c>
      <c r="G48" s="359">
        <f t="shared" si="27"/>
        <v>0</v>
      </c>
      <c r="H48" s="23"/>
      <c r="I48" s="23"/>
      <c r="J48" s="24"/>
    </row>
    <row r="49" spans="1:10" ht="13.5" customHeight="1" thickBot="1">
      <c r="A49" s="298" t="s">
        <v>56</v>
      </c>
      <c r="B49" s="359">
        <f t="shared" ref="B49:E49" si="28">B42-B45-B46-B48</f>
        <v>3020947.13</v>
      </c>
      <c r="C49" s="359">
        <f t="shared" si="28"/>
        <v>1064494.55</v>
      </c>
      <c r="D49" s="360">
        <f t="shared" si="28"/>
        <v>3718923.16</v>
      </c>
      <c r="E49" s="381">
        <f t="shared" si="28"/>
        <v>3810000</v>
      </c>
      <c r="F49" s="359">
        <f t="shared" si="27"/>
        <v>3981450</v>
      </c>
      <c r="G49" s="359">
        <f t="shared" si="27"/>
        <v>4160615.25</v>
      </c>
      <c r="H49" s="23"/>
      <c r="I49" s="23"/>
      <c r="J49" s="24"/>
    </row>
    <row r="50" spans="1:10" ht="13.5" customHeight="1" thickBot="1">
      <c r="A50" s="298" t="s">
        <v>116</v>
      </c>
      <c r="B50" s="359"/>
      <c r="C50" s="359"/>
      <c r="D50" s="360">
        <v>133000</v>
      </c>
      <c r="E50" s="381">
        <v>150000</v>
      </c>
      <c r="F50" s="359">
        <f t="shared" si="27"/>
        <v>156750</v>
      </c>
      <c r="G50" s="359">
        <f t="shared" si="27"/>
        <v>163803.75</v>
      </c>
      <c r="H50" s="23"/>
      <c r="I50" s="23"/>
      <c r="J50" s="24"/>
    </row>
    <row r="51" spans="1:10" ht="13.5" customHeight="1" thickBot="1">
      <c r="A51" s="298" t="s">
        <v>41</v>
      </c>
      <c r="B51" s="359"/>
      <c r="C51" s="359"/>
      <c r="D51" s="360"/>
      <c r="E51" s="381"/>
      <c r="F51" s="382"/>
      <c r="G51" s="382"/>
      <c r="H51" s="23"/>
      <c r="I51" s="23"/>
      <c r="J51" s="24"/>
    </row>
    <row r="52" spans="1:10" ht="13.5" customHeight="1" thickBot="1">
      <c r="A52" s="298" t="s">
        <v>57</v>
      </c>
      <c r="B52" s="359">
        <f t="shared" ref="B52:F52" si="29">B41+B49+B50+B51</f>
        <v>12526419.710000001</v>
      </c>
      <c r="C52" s="359">
        <f t="shared" si="29"/>
        <v>12340016.730000002</v>
      </c>
      <c r="D52" s="360">
        <f t="shared" si="29"/>
        <v>16043764.190000001</v>
      </c>
      <c r="E52" s="381">
        <f t="shared" si="29"/>
        <v>14870000</v>
      </c>
      <c r="F52" s="382">
        <f t="shared" si="29"/>
        <v>15539150</v>
      </c>
      <c r="G52" s="382">
        <f t="shared" ref="G52" si="30">G41+G49+G50+G51</f>
        <v>16238411.75</v>
      </c>
      <c r="H52" s="23"/>
      <c r="I52" s="23"/>
      <c r="J52" s="24"/>
    </row>
    <row r="53" spans="1:10" ht="13.5" customHeight="1" thickBot="1">
      <c r="A53" s="298" t="s">
        <v>4</v>
      </c>
      <c r="B53" s="359">
        <f t="shared" ref="B53:F53" si="31">B33-B52</f>
        <v>-680117.02000000328</v>
      </c>
      <c r="C53" s="359">
        <f t="shared" si="31"/>
        <v>1080371.2799999975</v>
      </c>
      <c r="D53" s="360">
        <f t="shared" si="31"/>
        <v>-2935764.1900000013</v>
      </c>
      <c r="E53" s="383">
        <f t="shared" si="31"/>
        <v>-68000</v>
      </c>
      <c r="F53" s="384">
        <f t="shared" si="31"/>
        <v>-71060</v>
      </c>
      <c r="G53" s="384">
        <f t="shared" ref="G53" si="32">G33-G52</f>
        <v>-74257.699999999255</v>
      </c>
      <c r="H53" s="23"/>
      <c r="I53" s="23"/>
      <c r="J53" s="24"/>
    </row>
    <row r="54" spans="1:10" ht="13.5" customHeight="1">
      <c r="A54" s="304" t="s">
        <v>534</v>
      </c>
      <c r="B54" s="305"/>
      <c r="C54" s="305"/>
      <c r="D54" s="305"/>
      <c r="E54" s="305"/>
      <c r="F54" s="305"/>
      <c r="G54" s="306"/>
      <c r="H54" s="23"/>
      <c r="I54" s="23"/>
      <c r="J54" s="24"/>
    </row>
    <row r="55" spans="1:10" ht="13.5" customHeight="1">
      <c r="A55" s="23"/>
      <c r="B55" s="23"/>
      <c r="C55" s="23"/>
      <c r="D55" s="23"/>
      <c r="E55" s="23"/>
      <c r="F55" s="23"/>
      <c r="G55" s="23"/>
      <c r="H55" s="23"/>
      <c r="I55" s="23"/>
      <c r="J55" s="24"/>
    </row>
    <row r="56" spans="1:10" ht="11.25" customHeight="1">
      <c r="A56" s="11" t="s">
        <v>241</v>
      </c>
      <c r="J56" s="9"/>
    </row>
    <row r="57" spans="1:10" ht="42.75" customHeight="1">
      <c r="A57" s="501" t="s">
        <v>503</v>
      </c>
      <c r="B57" s="501"/>
      <c r="C57" s="501"/>
      <c r="D57" s="501"/>
      <c r="E57" s="501"/>
      <c r="F57" s="501"/>
      <c r="G57" s="501"/>
      <c r="H57" s="406"/>
      <c r="I57" s="406"/>
      <c r="J57" s="406"/>
    </row>
    <row r="58" spans="1:10" ht="36.75" customHeight="1">
      <c r="A58" s="504" t="s">
        <v>435</v>
      </c>
      <c r="B58" s="504"/>
      <c r="C58" s="504"/>
      <c r="D58" s="504"/>
      <c r="E58" s="504"/>
      <c r="F58" s="504"/>
      <c r="G58" s="504"/>
      <c r="H58" s="407"/>
      <c r="I58" s="407"/>
      <c r="J58" s="407"/>
    </row>
    <row r="59" spans="1:10" ht="49.5" customHeight="1">
      <c r="A59" s="504" t="s">
        <v>384</v>
      </c>
      <c r="B59" s="504"/>
      <c r="C59" s="504"/>
      <c r="D59" s="504"/>
      <c r="E59" s="504"/>
      <c r="F59" s="504"/>
      <c r="G59" s="504"/>
      <c r="H59" s="407"/>
      <c r="I59" s="407"/>
      <c r="J59" s="407"/>
    </row>
    <row r="60" spans="1:10" ht="78.75" customHeight="1">
      <c r="A60" s="501" t="s">
        <v>504</v>
      </c>
      <c r="B60" s="501"/>
      <c r="C60" s="501"/>
      <c r="D60" s="501"/>
      <c r="E60" s="501"/>
      <c r="F60" s="501"/>
      <c r="G60" s="501"/>
      <c r="H60" s="406"/>
      <c r="I60" s="406"/>
      <c r="J60" s="406"/>
    </row>
    <row r="61" spans="1:10" ht="11.25" customHeight="1">
      <c r="A61" s="501"/>
      <c r="B61" s="501"/>
      <c r="C61" s="501"/>
      <c r="D61" s="501"/>
      <c r="J61" s="9"/>
    </row>
    <row r="62" spans="1:10" ht="11.25" customHeight="1">
      <c r="A62" s="25"/>
      <c r="B62" s="26"/>
      <c r="C62" s="25"/>
      <c r="D62" s="25"/>
      <c r="J62" s="9"/>
    </row>
    <row r="63" spans="1:10" ht="11.25" customHeight="1">
      <c r="A63" s="25" t="s">
        <v>497</v>
      </c>
      <c r="B63" s="27"/>
      <c r="C63" s="28"/>
      <c r="D63" s="28"/>
      <c r="J63" s="9"/>
    </row>
    <row r="64" spans="1:10" ht="11.25" customHeight="1">
      <c r="A64" s="25"/>
      <c r="B64" s="27"/>
      <c r="C64" s="28"/>
      <c r="D64" s="29"/>
      <c r="J64" s="9"/>
    </row>
    <row r="65" spans="1:10" ht="11.25" customHeight="1">
      <c r="A65" s="25"/>
      <c r="B65" s="27"/>
      <c r="C65" s="28"/>
      <c r="D65" s="29"/>
      <c r="J65" s="9"/>
    </row>
    <row r="66" spans="1:10" ht="11.25" customHeight="1">
      <c r="A66" s="25"/>
      <c r="B66" s="27"/>
      <c r="C66" s="28"/>
      <c r="D66" s="29"/>
      <c r="J66" s="9"/>
    </row>
    <row r="67" spans="1:10" ht="11.25" customHeight="1">
      <c r="A67" s="25" t="s">
        <v>433</v>
      </c>
      <c r="D67" s="27" t="s">
        <v>434</v>
      </c>
      <c r="E67" s="28"/>
      <c r="J67" s="9"/>
    </row>
    <row r="68" spans="1:10" ht="11.25" customHeight="1">
      <c r="A68" s="25" t="s">
        <v>239</v>
      </c>
      <c r="D68" s="27" t="s">
        <v>240</v>
      </c>
      <c r="E68" s="30"/>
      <c r="J68" s="9"/>
    </row>
    <row r="69" spans="1:10" ht="11.25" customHeight="1">
      <c r="J69" s="9"/>
    </row>
    <row r="70" spans="1:10" ht="11.25" customHeight="1">
      <c r="J70" s="9"/>
    </row>
    <row r="71" spans="1:10" ht="11.25" customHeight="1">
      <c r="J71" s="9"/>
    </row>
    <row r="72" spans="1:10" ht="11.25" customHeight="1">
      <c r="J72" s="9"/>
    </row>
    <row r="73" spans="1:10" ht="11.25" customHeight="1">
      <c r="J73" s="9"/>
    </row>
    <row r="74" spans="1:10" ht="11.25" customHeight="1">
      <c r="J74" s="9"/>
    </row>
    <row r="75" spans="1:10" ht="11.25" customHeight="1">
      <c r="J75" s="9"/>
    </row>
    <row r="76" spans="1:10" ht="11.25" customHeight="1">
      <c r="J76" s="9"/>
    </row>
    <row r="77" spans="1:10" ht="11.25" customHeight="1">
      <c r="J77" s="9"/>
    </row>
  </sheetData>
  <mergeCells count="13">
    <mergeCell ref="A5:G5"/>
    <mergeCell ref="A1:G1"/>
    <mergeCell ref="A2:G2"/>
    <mergeCell ref="A3:G3"/>
    <mergeCell ref="G8:G9"/>
    <mergeCell ref="F8:F9"/>
    <mergeCell ref="A4:G4"/>
    <mergeCell ref="A61:D61"/>
    <mergeCell ref="A8:A9"/>
    <mergeCell ref="A57:G57"/>
    <mergeCell ref="A58:G58"/>
    <mergeCell ref="A59:G59"/>
    <mergeCell ref="A60:G60"/>
  </mergeCells>
  <phoneticPr fontId="4" type="noConversion"/>
  <printOptions horizontalCentered="1"/>
  <pageMargins left="0.78740157480314965" right="0.78740157480314965" top="0.59055118110236227" bottom="0.39370078740157483" header="0" footer="0.19685039370078741"/>
  <pageSetup paperSize="9" scale="70" orientation="portrait" r:id="rId1"/>
  <headerFooter alignWithMargins="0">
    <oddHeader xml:space="preserve">&amp;L&amp;"Times New Roman,Normal"&amp;12ESTADO DO RIO GRANDE DO SUL
PREFEITURA MUNICIPAL DE BOA VISTA DO CADEADO
</oddHeader>
  </headerFooter>
</worksheet>
</file>

<file path=xl/worksheets/sheet5.xml><?xml version="1.0" encoding="utf-8"?>
<worksheet xmlns="http://schemas.openxmlformats.org/spreadsheetml/2006/main" xmlns:r="http://schemas.openxmlformats.org/officeDocument/2006/relationships">
  <dimension ref="A1:J35"/>
  <sheetViews>
    <sheetView view="pageLayout" workbookViewId="0">
      <selection activeCell="B80" sqref="B80"/>
    </sheetView>
  </sheetViews>
  <sheetFormatPr defaultRowHeight="12.75"/>
  <cols>
    <col min="1" max="1" width="41.28515625" customWidth="1"/>
    <col min="2" max="4" width="13.7109375" customWidth="1"/>
    <col min="5" max="5" width="15.5703125" customWidth="1"/>
    <col min="6" max="6" width="14.7109375" customWidth="1"/>
    <col min="7" max="7" width="14.85546875" customWidth="1"/>
  </cols>
  <sheetData>
    <row r="1" spans="1:7">
      <c r="A1" s="447" t="s">
        <v>169</v>
      </c>
      <c r="B1" s="447"/>
      <c r="C1" s="447"/>
      <c r="D1" s="447"/>
      <c r="E1" s="447"/>
      <c r="F1" s="447"/>
    </row>
    <row r="2" spans="1:7" s="12" customFormat="1">
      <c r="A2" s="517" t="s">
        <v>172</v>
      </c>
      <c r="B2" s="517"/>
      <c r="C2" s="517"/>
      <c r="D2" s="517"/>
      <c r="E2" s="517"/>
      <c r="F2" s="517"/>
    </row>
    <row r="3" spans="1:7">
      <c r="A3" s="25"/>
      <c r="B3" s="25"/>
      <c r="C3" s="25"/>
      <c r="D3" s="25"/>
      <c r="E3" s="25"/>
      <c r="F3" s="25"/>
    </row>
    <row r="4" spans="1:7">
      <c r="A4" s="519">
        <v>2015</v>
      </c>
      <c r="B4" s="519"/>
      <c r="C4" s="519"/>
      <c r="D4" s="519"/>
      <c r="E4" s="519"/>
      <c r="F4" s="519"/>
      <c r="G4" s="519"/>
    </row>
    <row r="5" spans="1:7" ht="13.5" thickBot="1">
      <c r="A5" s="307" t="s">
        <v>442</v>
      </c>
      <c r="B5" s="307"/>
      <c r="C5" s="307"/>
      <c r="D5" s="307"/>
      <c r="E5" s="307"/>
      <c r="F5" s="307"/>
      <c r="G5" s="297">
        <v>1</v>
      </c>
    </row>
    <row r="6" spans="1:7" ht="23.25" thickBot="1">
      <c r="A6" s="308" t="s">
        <v>443</v>
      </c>
      <c r="B6" s="309" t="s">
        <v>444</v>
      </c>
      <c r="C6" s="309" t="s">
        <v>445</v>
      </c>
      <c r="D6" s="309" t="s">
        <v>493</v>
      </c>
      <c r="E6" s="309" t="s">
        <v>494</v>
      </c>
      <c r="F6" s="310" t="s">
        <v>495</v>
      </c>
      <c r="G6" s="309" t="s">
        <v>496</v>
      </c>
    </row>
    <row r="7" spans="1:7">
      <c r="A7" s="311" t="s">
        <v>446</v>
      </c>
      <c r="B7" s="312">
        <v>756249.95</v>
      </c>
      <c r="C7" s="312">
        <v>481249.91</v>
      </c>
      <c r="D7" s="312">
        <v>206300</v>
      </c>
      <c r="E7" s="312">
        <v>0</v>
      </c>
      <c r="F7" s="313"/>
      <c r="G7" s="312"/>
    </row>
    <row r="8" spans="1:7">
      <c r="A8" s="314" t="s">
        <v>447</v>
      </c>
      <c r="B8" s="315">
        <f t="shared" ref="B8:C8" si="0">SUM(B9:B11)</f>
        <v>1504506.18</v>
      </c>
      <c r="C8" s="315">
        <f t="shared" si="0"/>
        <v>2270128.94</v>
      </c>
      <c r="D8" s="315">
        <f t="shared" ref="D8:E8" si="1">SUM(D9:D11)</f>
        <v>1491800</v>
      </c>
      <c r="E8" s="315">
        <f t="shared" si="1"/>
        <v>1421500</v>
      </c>
      <c r="F8" s="316">
        <f>SUM(F9:F11)+0.01</f>
        <v>1727579.2066666668</v>
      </c>
      <c r="G8" s="315">
        <f>SUM(G9:G11)</f>
        <v>1546705.6022222221</v>
      </c>
    </row>
    <row r="9" spans="1:7">
      <c r="A9" s="314" t="s">
        <v>448</v>
      </c>
      <c r="B9" s="315">
        <v>1639486.9</v>
      </c>
      <c r="C9" s="315">
        <v>2360189.81</v>
      </c>
      <c r="D9" s="315">
        <v>1684500</v>
      </c>
      <c r="E9" s="315">
        <v>1550000</v>
      </c>
      <c r="F9" s="316">
        <f>(E9+D9+C9)/3-233.59</f>
        <v>1864663.0133333334</v>
      </c>
      <c r="G9" s="315">
        <f>(F9+E9+D9)/3-170.32</f>
        <v>1699550.6844444445</v>
      </c>
    </row>
    <row r="10" spans="1:7">
      <c r="A10" s="314" t="s">
        <v>449</v>
      </c>
      <c r="B10" s="315">
        <v>4217.72</v>
      </c>
      <c r="C10" s="315">
        <v>0</v>
      </c>
      <c r="D10" s="315">
        <v>4800</v>
      </c>
      <c r="E10" s="315">
        <v>1500</v>
      </c>
      <c r="F10" s="316">
        <f>(E10+D10+C10)/3-93.1</f>
        <v>2006.9</v>
      </c>
      <c r="G10" s="315">
        <f>(F10+E10+D10)/3-626.43</f>
        <v>2142.5366666666669</v>
      </c>
    </row>
    <row r="11" spans="1:7">
      <c r="A11" s="314" t="s">
        <v>450</v>
      </c>
      <c r="B11" s="317">
        <v>-139198.44</v>
      </c>
      <c r="C11" s="317">
        <v>-90060.87</v>
      </c>
      <c r="D11" s="317">
        <v>-197500</v>
      </c>
      <c r="E11" s="317">
        <v>-130000</v>
      </c>
      <c r="F11" s="316">
        <f>(E11+D11+C11)/3+96.24</f>
        <v>-139090.71666666667</v>
      </c>
      <c r="G11" s="315">
        <f>(F11+E11+D11)/3+542.62</f>
        <v>-154987.61888888889</v>
      </c>
    </row>
    <row r="12" spans="1:7">
      <c r="A12" s="314" t="s">
        <v>451</v>
      </c>
      <c r="B12" s="319">
        <f t="shared" ref="B12:C12" si="2">B7-B8</f>
        <v>-748256.23</v>
      </c>
      <c r="C12" s="319">
        <f t="shared" si="2"/>
        <v>-1788879.03</v>
      </c>
      <c r="D12" s="319">
        <f t="shared" ref="D12:E12" si="3">D7-D8</f>
        <v>-1285500</v>
      </c>
      <c r="E12" s="319">
        <f t="shared" si="3"/>
        <v>-1421500</v>
      </c>
      <c r="F12" s="320">
        <f>F7-F8</f>
        <v>-1727579.2066666668</v>
      </c>
      <c r="G12" s="319">
        <f>G7-G8+399.99+0.01</f>
        <v>-1546305.6022222221</v>
      </c>
    </row>
    <row r="13" spans="1:7">
      <c r="A13" s="314" t="s">
        <v>452</v>
      </c>
      <c r="B13" s="319"/>
      <c r="C13" s="319"/>
      <c r="D13" s="319"/>
      <c r="E13" s="319"/>
      <c r="F13" s="320"/>
      <c r="G13" s="319"/>
    </row>
    <row r="14" spans="1:7">
      <c r="A14" s="314" t="s">
        <v>453</v>
      </c>
      <c r="B14" s="317"/>
      <c r="C14" s="317"/>
      <c r="D14" s="317"/>
      <c r="E14" s="317"/>
      <c r="F14" s="318"/>
      <c r="G14" s="317"/>
    </row>
    <row r="15" spans="1:7" ht="13.5" thickBot="1">
      <c r="A15" s="321" t="s">
        <v>454</v>
      </c>
      <c r="B15" s="322">
        <f t="shared" ref="B15:D15" si="4">B12+B13-B14</f>
        <v>-748256.23</v>
      </c>
      <c r="C15" s="322">
        <f t="shared" si="4"/>
        <v>-1788879.03</v>
      </c>
      <c r="D15" s="322">
        <f t="shared" si="4"/>
        <v>-1285500</v>
      </c>
      <c r="E15" s="322">
        <f t="shared" ref="E15:F15" si="5">E12+E13-E14</f>
        <v>-1421500</v>
      </c>
      <c r="F15" s="323">
        <f t="shared" si="5"/>
        <v>-1727579.2066666668</v>
      </c>
      <c r="G15" s="322">
        <f>G12+G13-G14-600</f>
        <v>-1546905.6022222221</v>
      </c>
    </row>
    <row r="16" spans="1:7" ht="13.5" thickBot="1">
      <c r="A16" s="324"/>
      <c r="B16" s="325"/>
      <c r="C16" s="325"/>
      <c r="D16" s="325"/>
      <c r="E16" s="325"/>
      <c r="F16" s="325"/>
      <c r="G16" s="426"/>
    </row>
    <row r="17" spans="1:10" ht="13.5" thickBot="1">
      <c r="A17" s="326" t="s">
        <v>455</v>
      </c>
      <c r="B17" s="327" t="s">
        <v>456</v>
      </c>
      <c r="C17" s="327" t="s">
        <v>457</v>
      </c>
      <c r="D17" s="327" t="s">
        <v>458</v>
      </c>
      <c r="E17" s="327" t="s">
        <v>459</v>
      </c>
      <c r="F17" s="328" t="s">
        <v>460</v>
      </c>
      <c r="G17" s="427" t="s">
        <v>461</v>
      </c>
    </row>
    <row r="18" spans="1:10" ht="13.5" thickBot="1">
      <c r="A18" s="329" t="s">
        <v>70</v>
      </c>
      <c r="B18" s="330"/>
      <c r="C18" s="330">
        <f>C15-B15</f>
        <v>-1040622.8</v>
      </c>
      <c r="D18" s="330">
        <f>D15-C15</f>
        <v>503379.03</v>
      </c>
      <c r="E18" s="332">
        <f>E15-D15</f>
        <v>-136000</v>
      </c>
      <c r="F18" s="331">
        <f>F15-E15</f>
        <v>-306079.20666666678</v>
      </c>
      <c r="G18" s="428">
        <f>G15-F15-0.01</f>
        <v>180673.59444444464</v>
      </c>
    </row>
    <row r="19" spans="1:10">
      <c r="A19" s="25" t="s">
        <v>535</v>
      </c>
      <c r="B19" s="25"/>
      <c r="C19" s="25"/>
      <c r="D19" s="25"/>
      <c r="E19" s="25"/>
      <c r="F19" s="25"/>
      <c r="H19" s="8"/>
      <c r="I19" s="8"/>
      <c r="J19" s="9"/>
    </row>
    <row r="20" spans="1:10">
      <c r="A20" s="25" t="s">
        <v>176</v>
      </c>
      <c r="B20" s="25"/>
      <c r="C20" s="25"/>
      <c r="D20" s="25"/>
      <c r="E20" s="25"/>
      <c r="F20" s="25"/>
      <c r="H20" s="8"/>
      <c r="I20" s="8"/>
      <c r="J20" s="9"/>
    </row>
    <row r="21" spans="1:10">
      <c r="A21" s="25" t="s">
        <v>242</v>
      </c>
      <c r="B21" s="25"/>
      <c r="C21" s="25"/>
      <c r="D21" s="25"/>
      <c r="E21" s="25"/>
      <c r="F21" s="25"/>
    </row>
    <row r="22" spans="1:10" ht="89.25" customHeight="1">
      <c r="A22" s="518" t="s">
        <v>526</v>
      </c>
      <c r="B22" s="518"/>
      <c r="C22" s="518"/>
      <c r="D22" s="518"/>
      <c r="E22" s="518"/>
      <c r="F22" s="518"/>
    </row>
    <row r="23" spans="1:10">
      <c r="A23" s="25"/>
      <c r="B23" s="25"/>
      <c r="C23" s="25"/>
      <c r="D23" s="25"/>
      <c r="E23" s="25"/>
      <c r="F23" s="25"/>
    </row>
    <row r="24" spans="1:10">
      <c r="A24" s="25"/>
      <c r="B24" s="26"/>
      <c r="C24" s="25"/>
      <c r="D24" s="25"/>
      <c r="E24" s="8"/>
      <c r="F24" s="8"/>
      <c r="G24" s="8"/>
      <c r="H24" s="8"/>
    </row>
    <row r="25" spans="1:10">
      <c r="A25" s="25" t="s">
        <v>497</v>
      </c>
      <c r="B25" s="27"/>
      <c r="C25" s="28"/>
      <c r="D25" s="28"/>
      <c r="E25" s="8"/>
      <c r="F25" s="8"/>
      <c r="G25" s="8"/>
      <c r="H25" s="8"/>
    </row>
    <row r="26" spans="1:10">
      <c r="A26" s="25"/>
      <c r="B26" s="27"/>
      <c r="C26" s="28"/>
      <c r="D26" s="29"/>
      <c r="E26" s="8"/>
      <c r="F26" s="8"/>
      <c r="G26" s="8"/>
      <c r="H26" s="8"/>
    </row>
    <row r="27" spans="1:10">
      <c r="A27" s="25"/>
      <c r="B27" s="27"/>
      <c r="C27" s="28"/>
      <c r="D27" s="29"/>
      <c r="E27" s="8"/>
      <c r="F27" s="8"/>
      <c r="G27" s="8"/>
      <c r="H27" s="8"/>
    </row>
    <row r="28" spans="1:10">
      <c r="A28" s="25"/>
      <c r="B28" s="27"/>
      <c r="C28" s="28"/>
      <c r="D28" s="29"/>
      <c r="E28" s="8"/>
      <c r="F28" s="8"/>
      <c r="G28" s="8"/>
      <c r="H28" s="8"/>
    </row>
    <row r="29" spans="1:10">
      <c r="A29" s="25" t="s">
        <v>433</v>
      </c>
      <c r="C29" s="28"/>
      <c r="D29" s="27" t="s">
        <v>434</v>
      </c>
      <c r="E29" s="8"/>
      <c r="F29" s="8"/>
      <c r="G29" s="8"/>
      <c r="H29" s="8"/>
    </row>
    <row r="30" spans="1:10">
      <c r="A30" s="25" t="s">
        <v>239</v>
      </c>
      <c r="C30" s="30"/>
      <c r="D30" s="27" t="s">
        <v>240</v>
      </c>
      <c r="E30" s="8"/>
      <c r="F30" s="8"/>
      <c r="G30" s="8"/>
      <c r="H30" s="8"/>
    </row>
    <row r="31" spans="1:10">
      <c r="A31" s="8"/>
      <c r="B31" s="8"/>
      <c r="C31" s="8"/>
      <c r="D31" s="8"/>
      <c r="E31" s="8"/>
      <c r="F31" s="8"/>
      <c r="G31" s="8"/>
    </row>
    <row r="32" spans="1:10">
      <c r="A32" s="8"/>
      <c r="B32" s="8"/>
      <c r="C32" s="8"/>
      <c r="D32" s="8"/>
      <c r="E32" s="8"/>
      <c r="F32" s="8"/>
      <c r="G32" s="8"/>
    </row>
    <row r="33" spans="1:7">
      <c r="A33" s="8"/>
      <c r="B33" s="8"/>
      <c r="C33" s="8"/>
      <c r="D33" s="8"/>
      <c r="E33" s="8"/>
      <c r="F33" s="8"/>
      <c r="G33" s="8"/>
    </row>
    <row r="34" spans="1:7">
      <c r="A34" s="8"/>
      <c r="B34" s="8"/>
      <c r="C34" s="8"/>
      <c r="D34" s="8"/>
      <c r="E34" s="8"/>
      <c r="F34" s="8"/>
      <c r="G34" s="8"/>
    </row>
    <row r="35" spans="1:7">
      <c r="A35" s="8"/>
      <c r="B35" s="8"/>
      <c r="C35" s="8"/>
      <c r="D35" s="8"/>
      <c r="E35" s="8"/>
      <c r="F35" s="8"/>
      <c r="G35" s="8"/>
    </row>
  </sheetData>
  <mergeCells count="4">
    <mergeCell ref="A1:F1"/>
    <mergeCell ref="A2:F2"/>
    <mergeCell ref="A22:F22"/>
    <mergeCell ref="A4:G4"/>
  </mergeCells>
  <phoneticPr fontId="6" type="noConversion"/>
  <pageMargins left="0.59055118110236227" right="0.59055118110236227" top="1.03125" bottom="0.78740157480314965" header="0.51181102362204722" footer="0.51181102362204722"/>
  <pageSetup paperSize="9" orientation="landscape" r:id="rId1"/>
  <headerFooter alignWithMargins="0">
    <oddHeader xml:space="preserve">&amp;LESTADO DO RIO GRANDE DO SUL
PREFEITURA MUNICIPAL DE BOA VISTA DO CADEADO
</oddHeader>
  </headerFooter>
</worksheet>
</file>

<file path=xl/worksheets/sheet6.xml><?xml version="1.0" encoding="utf-8"?>
<worksheet xmlns="http://schemas.openxmlformats.org/spreadsheetml/2006/main" xmlns:r="http://schemas.openxmlformats.org/officeDocument/2006/relationships">
  <sheetPr codeName="Plan15"/>
  <dimension ref="A1:H44"/>
  <sheetViews>
    <sheetView view="pageLayout" workbookViewId="0">
      <selection activeCell="B80" sqref="B80"/>
    </sheetView>
  </sheetViews>
  <sheetFormatPr defaultColWidth="25.7109375" defaultRowHeight="11.25" customHeight="1"/>
  <cols>
    <col min="1" max="1" width="28.85546875" style="53" customWidth="1"/>
    <col min="2" max="2" width="17.7109375" style="53" customWidth="1"/>
    <col min="3" max="3" width="14.28515625" style="53" customWidth="1"/>
    <col min="4" max="4" width="19.140625" style="53" customWidth="1"/>
    <col min="5" max="5" width="10.28515625" style="53" customWidth="1"/>
    <col min="6" max="6" width="13.28515625" style="53" customWidth="1"/>
    <col min="7" max="7" width="11" style="53" customWidth="1"/>
    <col min="8" max="16384" width="25.7109375" style="53"/>
  </cols>
  <sheetData>
    <row r="1" spans="1:8" ht="11.25" customHeight="1">
      <c r="B1" s="55"/>
      <c r="C1" s="55"/>
      <c r="D1" s="55"/>
      <c r="E1" s="55"/>
      <c r="F1" s="56"/>
      <c r="G1" s="56"/>
    </row>
    <row r="2" spans="1:8" ht="13.5" customHeight="1">
      <c r="A2" s="522" t="s">
        <v>68</v>
      </c>
      <c r="B2" s="522"/>
      <c r="C2" s="522"/>
      <c r="D2" s="522"/>
      <c r="E2" s="522"/>
      <c r="F2" s="522"/>
      <c r="G2" s="522"/>
      <c r="H2" s="57"/>
    </row>
    <row r="3" spans="1:8" ht="11.25" customHeight="1">
      <c r="A3" s="522" t="s">
        <v>117</v>
      </c>
      <c r="B3" s="522"/>
      <c r="C3" s="522"/>
      <c r="D3" s="522"/>
      <c r="E3" s="522"/>
      <c r="F3" s="522"/>
      <c r="G3" s="522"/>
      <c r="H3" s="57"/>
    </row>
    <row r="4" spans="1:8" ht="12.75" customHeight="1">
      <c r="A4" s="520" t="s">
        <v>171</v>
      </c>
      <c r="B4" s="521"/>
      <c r="C4" s="521"/>
      <c r="D4" s="521"/>
      <c r="E4" s="521"/>
      <c r="F4" s="521"/>
      <c r="G4" s="521"/>
      <c r="H4" s="57"/>
    </row>
    <row r="5" spans="1:8" ht="15" customHeight="1">
      <c r="A5" s="521" t="s">
        <v>170</v>
      </c>
      <c r="B5" s="521"/>
      <c r="C5" s="521"/>
      <c r="D5" s="521"/>
      <c r="E5" s="521"/>
      <c r="F5" s="521"/>
      <c r="G5" s="521"/>
      <c r="H5" s="57"/>
    </row>
    <row r="6" spans="1:8" ht="11.25" customHeight="1">
      <c r="A6" s="523">
        <v>2015</v>
      </c>
      <c r="B6" s="521"/>
      <c r="C6" s="521"/>
      <c r="D6" s="521"/>
      <c r="E6" s="521"/>
      <c r="F6" s="521"/>
      <c r="G6" s="521"/>
      <c r="H6" s="57"/>
    </row>
    <row r="7" spans="1:8" ht="11.25" customHeight="1">
      <c r="A7" s="58"/>
      <c r="B7" s="59"/>
      <c r="C7" s="59"/>
      <c r="D7" s="59"/>
      <c r="E7" s="59"/>
      <c r="F7" s="60"/>
      <c r="G7" s="60" t="s">
        <v>382</v>
      </c>
      <c r="H7" s="57"/>
    </row>
    <row r="8" spans="1:8" ht="11.25" customHeight="1">
      <c r="A8" s="58"/>
      <c r="B8" s="59"/>
      <c r="C8" s="59"/>
      <c r="D8" s="59"/>
      <c r="E8" s="59"/>
      <c r="F8" s="60"/>
      <c r="G8" s="60"/>
      <c r="H8" s="57"/>
    </row>
    <row r="9" spans="1:8" ht="14.25" customHeight="1" thickBot="1">
      <c r="A9" s="296" t="s">
        <v>462</v>
      </c>
      <c r="B9" s="333"/>
      <c r="C9" s="333"/>
      <c r="D9" s="333"/>
      <c r="E9" s="333"/>
      <c r="F9" s="334"/>
      <c r="G9" s="334">
        <v>1</v>
      </c>
      <c r="H9" s="57"/>
    </row>
    <row r="10" spans="1:8" ht="13.5" customHeight="1" thickTop="1" thickBot="1">
      <c r="A10" s="525" t="s">
        <v>65</v>
      </c>
      <c r="B10" s="527" t="s">
        <v>498</v>
      </c>
      <c r="C10" s="527" t="s">
        <v>71</v>
      </c>
      <c r="D10" s="527" t="s">
        <v>499</v>
      </c>
      <c r="E10" s="527" t="s">
        <v>71</v>
      </c>
      <c r="F10" s="536" t="s">
        <v>1</v>
      </c>
      <c r="G10" s="537"/>
      <c r="H10" s="57"/>
    </row>
    <row r="11" spans="1:8" ht="11.25" customHeight="1" thickTop="1">
      <c r="A11" s="526"/>
      <c r="B11" s="528"/>
      <c r="C11" s="528"/>
      <c r="D11" s="528"/>
      <c r="E11" s="528"/>
      <c r="F11" s="527" t="s">
        <v>463</v>
      </c>
      <c r="G11" s="538" t="s">
        <v>464</v>
      </c>
      <c r="H11" s="57"/>
    </row>
    <row r="12" spans="1:8" ht="11.25" customHeight="1" thickBot="1">
      <c r="A12" s="526"/>
      <c r="B12" s="528"/>
      <c r="C12" s="528"/>
      <c r="D12" s="528"/>
      <c r="E12" s="528"/>
      <c r="F12" s="528"/>
      <c r="G12" s="539"/>
      <c r="H12" s="57"/>
    </row>
    <row r="13" spans="1:8" ht="15.75" customHeight="1">
      <c r="A13" s="335" t="s">
        <v>82</v>
      </c>
      <c r="B13" s="336">
        <v>12200000</v>
      </c>
      <c r="C13" s="337">
        <f>(B13/D26)*100</f>
        <v>3.7177439998049705E-3</v>
      </c>
      <c r="D13" s="336">
        <v>13601666.24</v>
      </c>
      <c r="E13" s="337">
        <f>(D13/273860000000)*100</f>
        <v>4.9666494705323892E-3</v>
      </c>
      <c r="F13" s="338">
        <f>D13-B13</f>
        <v>1401666.2400000002</v>
      </c>
      <c r="G13" s="339">
        <f>(F13/B13)*100</f>
        <v>11.489067540983608</v>
      </c>
      <c r="H13" s="57"/>
    </row>
    <row r="14" spans="1:8" ht="16.5" customHeight="1" thickBot="1">
      <c r="A14" s="340" t="s">
        <v>83</v>
      </c>
      <c r="B14" s="341">
        <v>12053000</v>
      </c>
      <c r="C14" s="342">
        <f>(B14/D$26)*100</f>
        <v>3.6729482319384681E-3</v>
      </c>
      <c r="D14" s="341">
        <v>13420388.01</v>
      </c>
      <c r="E14" s="342">
        <f t="shared" ref="E14:E20" si="0">(D14/273860000000)*100</f>
        <v>4.9004557109471993E-3</v>
      </c>
      <c r="F14" s="343">
        <f t="shared" ref="F14:F20" si="1">D14-B14</f>
        <v>1367388.0099999998</v>
      </c>
      <c r="G14" s="344">
        <f t="shared" ref="G14:G20" si="2">(F14/B14)*100</f>
        <v>11.344793910229816</v>
      </c>
      <c r="H14" s="57"/>
    </row>
    <row r="15" spans="1:8" ht="15.75" customHeight="1">
      <c r="A15" s="340" t="s">
        <v>84</v>
      </c>
      <c r="B15" s="336">
        <v>12200000</v>
      </c>
      <c r="C15" s="342">
        <f t="shared" ref="C15:C20" si="3">(B15/D$26)*100</f>
        <v>3.7177439998049705E-3</v>
      </c>
      <c r="D15" s="341">
        <v>12766361.42</v>
      </c>
      <c r="E15" s="342">
        <f t="shared" si="0"/>
        <v>4.6616378514569489E-3</v>
      </c>
      <c r="F15" s="343">
        <f t="shared" si="1"/>
        <v>566361.41999999993</v>
      </c>
      <c r="G15" s="344">
        <f t="shared" si="2"/>
        <v>4.642306721311475</v>
      </c>
      <c r="H15" s="57"/>
    </row>
    <row r="16" spans="1:8" ht="17.25" customHeight="1">
      <c r="A16" s="340" t="s">
        <v>77</v>
      </c>
      <c r="B16" s="341">
        <v>11800000</v>
      </c>
      <c r="C16" s="342">
        <f t="shared" si="3"/>
        <v>3.5958507539097261E-3</v>
      </c>
      <c r="D16" s="341">
        <f>12340016.73+371157.86</f>
        <v>12711174.59</v>
      </c>
      <c r="E16" s="342">
        <f t="shared" si="0"/>
        <v>4.6414863762506394E-3</v>
      </c>
      <c r="F16" s="343">
        <f t="shared" si="1"/>
        <v>911174.58999999985</v>
      </c>
      <c r="G16" s="344">
        <f t="shared" si="2"/>
        <v>7.721818559322033</v>
      </c>
      <c r="H16" s="57"/>
    </row>
    <row r="17" spans="1:8" ht="18.75" customHeight="1">
      <c r="A17" s="340" t="s">
        <v>78</v>
      </c>
      <c r="B17" s="345">
        <f>B14-B16</f>
        <v>253000</v>
      </c>
      <c r="C17" s="342">
        <f t="shared" si="3"/>
        <v>7.7097478028742428E-5</v>
      </c>
      <c r="D17" s="345">
        <v>709213.42</v>
      </c>
      <c r="E17" s="342">
        <f t="shared" si="0"/>
        <v>2.589693346965603E-4</v>
      </c>
      <c r="F17" s="343">
        <f t="shared" si="1"/>
        <v>456213.42000000004</v>
      </c>
      <c r="G17" s="344">
        <f t="shared" si="2"/>
        <v>180.32150988142294</v>
      </c>
      <c r="H17" s="57"/>
    </row>
    <row r="18" spans="1:8" ht="21" customHeight="1">
      <c r="A18" s="340" t="s">
        <v>7</v>
      </c>
      <c r="B18" s="341">
        <v>91000</v>
      </c>
      <c r="C18" s="342">
        <f t="shared" si="3"/>
        <v>2.7730713441168221E-5</v>
      </c>
      <c r="D18" s="341">
        <v>-1040622.8</v>
      </c>
      <c r="E18" s="342">
        <f t="shared" si="0"/>
        <v>-3.7998349521653404E-4</v>
      </c>
      <c r="F18" s="343">
        <f t="shared" si="1"/>
        <v>-1131622.8</v>
      </c>
      <c r="G18" s="344">
        <f t="shared" si="2"/>
        <v>-1243.5415384615385</v>
      </c>
      <c r="H18" s="57"/>
    </row>
    <row r="19" spans="1:8" ht="21.75" customHeight="1">
      <c r="A19" s="340" t="s">
        <v>85</v>
      </c>
      <c r="B19" s="341">
        <v>602994</v>
      </c>
      <c r="C19" s="342">
        <f t="shared" si="3"/>
        <v>1.8375223978839332E-4</v>
      </c>
      <c r="D19" s="341">
        <v>481249.91</v>
      </c>
      <c r="E19" s="342">
        <f t="shared" si="0"/>
        <v>1.757284415394727E-4</v>
      </c>
      <c r="F19" s="343">
        <f t="shared" si="1"/>
        <v>-121744.09000000003</v>
      </c>
      <c r="G19" s="344">
        <f t="shared" si="2"/>
        <v>-20.189933896523023</v>
      </c>
      <c r="H19" s="57"/>
    </row>
    <row r="20" spans="1:8" ht="19.5" customHeight="1" thickBot="1">
      <c r="A20" s="346" t="s">
        <v>86</v>
      </c>
      <c r="B20" s="347">
        <v>-479817</v>
      </c>
      <c r="C20" s="342">
        <f t="shared" si="3"/>
        <v>-1.4621612891429686E-4</v>
      </c>
      <c r="D20" s="347">
        <v>-1788879.03</v>
      </c>
      <c r="E20" s="348">
        <f t="shared" si="0"/>
        <v>-6.5320931497845616E-4</v>
      </c>
      <c r="F20" s="349">
        <f t="shared" si="1"/>
        <v>-1309062.03</v>
      </c>
      <c r="G20" s="350">
        <f t="shared" si="2"/>
        <v>272.82527088452474</v>
      </c>
      <c r="H20" s="57"/>
    </row>
    <row r="21" spans="1:8" ht="11.25" customHeight="1">
      <c r="A21" s="540"/>
      <c r="B21" s="540"/>
      <c r="C21" s="540"/>
      <c r="D21" s="540"/>
      <c r="E21" s="540"/>
      <c r="F21" s="540"/>
      <c r="G21" s="540"/>
      <c r="H21" s="57"/>
    </row>
    <row r="22" spans="1:8" ht="11.25" customHeight="1">
      <c r="A22" s="352" t="s">
        <v>465</v>
      </c>
      <c r="B22" s="351"/>
      <c r="C22" s="351"/>
      <c r="D22" s="351"/>
      <c r="E22" s="351"/>
      <c r="F22" s="351"/>
      <c r="G22" s="351"/>
      <c r="H22" s="57"/>
    </row>
    <row r="23" spans="1:8" ht="11.25" customHeight="1">
      <c r="A23" s="352"/>
      <c r="B23" s="351"/>
      <c r="C23" s="351"/>
      <c r="D23" s="351"/>
      <c r="E23" s="351"/>
      <c r="F23" s="351"/>
      <c r="G23" s="351"/>
      <c r="H23" s="57"/>
    </row>
    <row r="24" spans="1:8" ht="11.25" customHeight="1" thickBot="1">
      <c r="A24" s="351"/>
      <c r="B24" s="353"/>
      <c r="C24" s="351"/>
      <c r="D24" s="351"/>
      <c r="E24" s="351"/>
      <c r="F24" s="351"/>
      <c r="G24" s="351"/>
      <c r="H24" s="57"/>
    </row>
    <row r="25" spans="1:8" ht="11.25" customHeight="1" thickBot="1">
      <c r="A25" s="541" t="s">
        <v>443</v>
      </c>
      <c r="B25" s="542"/>
      <c r="C25" s="542"/>
      <c r="D25" s="542" t="s">
        <v>466</v>
      </c>
      <c r="E25" s="543"/>
      <c r="F25" s="351"/>
      <c r="G25" s="351"/>
      <c r="H25" s="57"/>
    </row>
    <row r="26" spans="1:8" ht="13.5" customHeight="1">
      <c r="A26" s="529" t="s">
        <v>527</v>
      </c>
      <c r="B26" s="530"/>
      <c r="C26" s="531"/>
      <c r="D26" s="532">
        <v>328156000000</v>
      </c>
      <c r="E26" s="533"/>
      <c r="F26" s="351"/>
      <c r="G26" s="351"/>
    </row>
    <row r="27" spans="1:8" ht="11.25" customHeight="1" thickBot="1">
      <c r="A27" s="354" t="s">
        <v>529</v>
      </c>
      <c r="B27" s="432"/>
      <c r="C27" s="433"/>
      <c r="D27" s="534">
        <v>310508000000</v>
      </c>
      <c r="E27" s="535"/>
      <c r="F27" s="351"/>
      <c r="G27" s="351"/>
    </row>
    <row r="28" spans="1:8" ht="11.25" customHeight="1">
      <c r="A28" s="355"/>
      <c r="B28" s="356"/>
      <c r="C28" s="356"/>
      <c r="D28" s="357"/>
      <c r="E28" s="357"/>
      <c r="F28" s="351"/>
      <c r="G28" s="351"/>
    </row>
    <row r="29" spans="1:8" ht="11.25" customHeight="1">
      <c r="A29" s="58"/>
      <c r="B29" s="59"/>
      <c r="C29" s="59"/>
      <c r="D29" s="59"/>
      <c r="E29" s="59"/>
      <c r="F29" s="60"/>
      <c r="G29" s="60"/>
      <c r="H29" s="8"/>
    </row>
    <row r="30" spans="1:8" ht="11.25" customHeight="1">
      <c r="A30" s="524" t="s">
        <v>245</v>
      </c>
      <c r="B30" s="524"/>
      <c r="C30" s="524"/>
      <c r="D30" s="524"/>
      <c r="E30" s="524"/>
      <c r="F30" s="524"/>
      <c r="G30" s="524"/>
    </row>
    <row r="31" spans="1:8" ht="11.25" customHeight="1">
      <c r="A31" s="57"/>
      <c r="B31" s="57"/>
      <c r="C31" s="57"/>
      <c r="D31" s="57"/>
      <c r="E31" s="57"/>
      <c r="F31" s="57"/>
      <c r="G31" s="57"/>
    </row>
    <row r="32" spans="1:8" ht="11.25" customHeight="1">
      <c r="A32" s="57"/>
      <c r="B32" s="57"/>
      <c r="C32" s="57"/>
      <c r="D32" s="57"/>
      <c r="E32" s="57"/>
      <c r="F32" s="57"/>
      <c r="G32" s="57"/>
    </row>
    <row r="33" spans="1:7" ht="11.25" customHeight="1">
      <c r="A33" s="451" t="s">
        <v>530</v>
      </c>
      <c r="B33" s="451"/>
      <c r="C33" s="451"/>
      <c r="D33" s="451"/>
      <c r="E33" s="451"/>
      <c r="F33" s="451"/>
      <c r="G33" s="451"/>
    </row>
    <row r="34" spans="1:7" ht="11.25" customHeight="1">
      <c r="A34" s="451"/>
      <c r="B34" s="451"/>
      <c r="C34" s="451"/>
      <c r="D34" s="451"/>
      <c r="E34" s="451"/>
      <c r="F34" s="451"/>
      <c r="G34" s="451"/>
    </row>
    <row r="35" spans="1:7" ht="11.25" customHeight="1">
      <c r="A35" s="451"/>
      <c r="B35" s="451"/>
      <c r="C35" s="451"/>
      <c r="D35" s="451"/>
      <c r="E35" s="451"/>
      <c r="F35" s="451"/>
      <c r="G35" s="451"/>
    </row>
    <row r="36" spans="1:7" ht="50.25" customHeight="1">
      <c r="A36" s="451"/>
      <c r="B36" s="451"/>
      <c r="C36" s="451"/>
      <c r="D36" s="451"/>
      <c r="E36" s="451"/>
      <c r="F36" s="451"/>
      <c r="G36" s="451"/>
    </row>
    <row r="39" spans="1:7" ht="11.25" customHeight="1">
      <c r="A39" s="25" t="s">
        <v>497</v>
      </c>
      <c r="B39" s="27"/>
      <c r="C39" s="28"/>
      <c r="D39" s="28"/>
      <c r="E39" s="8"/>
      <c r="F39" s="8"/>
      <c r="G39" s="8"/>
    </row>
    <row r="40" spans="1:7" ht="11.25" customHeight="1">
      <c r="A40" s="25"/>
      <c r="B40" s="27"/>
      <c r="C40" s="28"/>
      <c r="D40" s="29"/>
      <c r="E40" s="8"/>
      <c r="F40" s="8"/>
      <c r="G40" s="8"/>
    </row>
    <row r="41" spans="1:7" ht="11.25" customHeight="1">
      <c r="A41" s="25"/>
      <c r="B41" s="27"/>
      <c r="C41" s="28"/>
      <c r="D41" s="29"/>
      <c r="E41" s="8"/>
      <c r="F41" s="8"/>
      <c r="G41" s="8"/>
    </row>
    <row r="42" spans="1:7" ht="11.25" customHeight="1">
      <c r="A42" s="25"/>
      <c r="B42" s="27"/>
      <c r="C42" s="28"/>
      <c r="D42" s="29"/>
      <c r="E42" s="8"/>
      <c r="F42" s="8"/>
      <c r="G42" s="8"/>
    </row>
    <row r="43" spans="1:7" ht="11.25" customHeight="1">
      <c r="A43" s="25" t="s">
        <v>433</v>
      </c>
      <c r="B43"/>
      <c r="C43" s="28"/>
      <c r="D43" s="27" t="s">
        <v>434</v>
      </c>
      <c r="E43" s="8"/>
      <c r="F43" s="8"/>
      <c r="G43" s="8"/>
    </row>
    <row r="44" spans="1:7" ht="11.25" customHeight="1">
      <c r="A44" s="25" t="s">
        <v>239</v>
      </c>
      <c r="B44"/>
      <c r="C44" s="30"/>
      <c r="D44" s="27" t="s">
        <v>240</v>
      </c>
      <c r="E44" s="8"/>
      <c r="F44" s="8"/>
      <c r="G44" s="8"/>
    </row>
  </sheetData>
  <mergeCells count="21">
    <mergeCell ref="F11:F12"/>
    <mergeCell ref="G11:G12"/>
    <mergeCell ref="A21:G21"/>
    <mergeCell ref="A25:C25"/>
    <mergeCell ref="D25:E25"/>
    <mergeCell ref="A33:G36"/>
    <mergeCell ref="A4:G4"/>
    <mergeCell ref="A5:G5"/>
    <mergeCell ref="A2:G2"/>
    <mergeCell ref="A3:G3"/>
    <mergeCell ref="A6:G6"/>
    <mergeCell ref="A30:G30"/>
    <mergeCell ref="A10:A12"/>
    <mergeCell ref="B10:B12"/>
    <mergeCell ref="C10:C12"/>
    <mergeCell ref="D10:D12"/>
    <mergeCell ref="E10:E12"/>
    <mergeCell ref="A26:C26"/>
    <mergeCell ref="D26:E26"/>
    <mergeCell ref="D27:E27"/>
    <mergeCell ref="F10:G10"/>
  </mergeCells>
  <phoneticPr fontId="6" type="noConversion"/>
  <pageMargins left="1.08" right="0.78740157480314965" top="1.1200000000000001" bottom="0.98425196850393704" header="0.51181102362204722" footer="0.51181102362204722"/>
  <pageSetup paperSize="9" scale="75" orientation="landscape" r:id="rId1"/>
  <headerFooter alignWithMargins="0">
    <oddHeader xml:space="preserve">&amp;LESTADO DO RIO GRANDE DO SUL
PREFEITURA MUNICIPAL DE BOA VISTA DO CADEADO
</oddHeader>
  </headerFooter>
</worksheet>
</file>

<file path=xl/worksheets/sheet7.xml><?xml version="1.0" encoding="utf-8"?>
<worksheet xmlns="http://schemas.openxmlformats.org/spreadsheetml/2006/main" xmlns:r="http://schemas.openxmlformats.org/officeDocument/2006/relationships">
  <sheetPr codeName="Plan21"/>
  <dimension ref="A1:M155"/>
  <sheetViews>
    <sheetView view="pageLayout" topLeftCell="A7" zoomScaleNormal="100" workbookViewId="0">
      <selection activeCell="E16" sqref="E16"/>
    </sheetView>
  </sheetViews>
  <sheetFormatPr defaultRowHeight="11.25" customHeight="1"/>
  <cols>
    <col min="1" max="1" width="31.28515625" style="1" customWidth="1"/>
    <col min="2" max="2" width="13.7109375" style="1" customWidth="1"/>
    <col min="3" max="3" width="12.7109375" style="1" customWidth="1"/>
    <col min="4" max="4" width="8.85546875" style="1" customWidth="1"/>
    <col min="5" max="5" width="13" style="1" customWidth="1"/>
    <col min="6" max="6" width="8.85546875" style="1" customWidth="1"/>
    <col min="7" max="7" width="14.42578125" style="1" customWidth="1"/>
    <col min="8" max="8" width="11.5703125" style="1" customWidth="1"/>
    <col min="9" max="9" width="12.7109375" style="1" customWidth="1"/>
    <col min="10" max="10" width="8.85546875" style="1" customWidth="1"/>
    <col min="11" max="11" width="13.5703125" style="1" customWidth="1"/>
    <col min="12" max="12" width="8.85546875" style="1" customWidth="1"/>
    <col min="13" max="16384" width="9.140625" style="1"/>
  </cols>
  <sheetData>
    <row r="1" spans="1:13" s="2" customFormat="1" ht="11.25" customHeight="1"/>
    <row r="2" spans="1:13" s="2" customFormat="1" ht="11.25" customHeight="1">
      <c r="A2" s="550" t="s">
        <v>68</v>
      </c>
      <c r="B2" s="550"/>
      <c r="C2" s="550"/>
      <c r="D2" s="550"/>
      <c r="E2" s="550"/>
      <c r="F2" s="550"/>
      <c r="G2" s="550"/>
      <c r="H2" s="550"/>
      <c r="I2" s="550"/>
      <c r="J2" s="550"/>
      <c r="K2" s="550"/>
      <c r="L2" s="550"/>
      <c r="M2" s="7"/>
    </row>
    <row r="3" spans="1:13" s="2" customFormat="1" ht="11.25" customHeight="1">
      <c r="A3" s="550" t="s">
        <v>117</v>
      </c>
      <c r="B3" s="550"/>
      <c r="C3" s="550"/>
      <c r="D3" s="550"/>
      <c r="E3" s="550"/>
      <c r="F3" s="550"/>
      <c r="G3" s="550"/>
      <c r="H3" s="550"/>
      <c r="I3" s="550"/>
      <c r="J3" s="550"/>
      <c r="K3" s="550"/>
      <c r="L3" s="550"/>
      <c r="M3" s="7"/>
    </row>
    <row r="4" spans="1:13" s="2" customFormat="1" ht="11.25" customHeight="1">
      <c r="A4" s="551" t="s">
        <v>171</v>
      </c>
      <c r="B4" s="552"/>
      <c r="C4" s="552"/>
      <c r="D4" s="552"/>
      <c r="E4" s="552"/>
      <c r="F4" s="552"/>
      <c r="G4" s="552"/>
      <c r="H4" s="552"/>
      <c r="I4" s="552"/>
      <c r="J4" s="552"/>
      <c r="K4" s="552"/>
      <c r="L4" s="552"/>
      <c r="M4" s="66"/>
    </row>
    <row r="5" spans="1:13" s="2" customFormat="1" ht="11.25" customHeight="1">
      <c r="A5" s="552" t="s">
        <v>178</v>
      </c>
      <c r="B5" s="552"/>
      <c r="C5" s="552"/>
      <c r="D5" s="552"/>
      <c r="E5" s="552"/>
      <c r="F5" s="552"/>
      <c r="G5" s="552"/>
      <c r="H5" s="552"/>
      <c r="I5" s="552"/>
      <c r="J5" s="552"/>
      <c r="K5" s="552"/>
      <c r="L5" s="552"/>
      <c r="M5" s="66"/>
    </row>
    <row r="6" spans="1:13" s="2" customFormat="1" ht="11.25" customHeight="1">
      <c r="A6" s="553">
        <v>2015</v>
      </c>
      <c r="B6" s="552"/>
      <c r="C6" s="552"/>
      <c r="D6" s="552"/>
      <c r="E6" s="552"/>
      <c r="F6" s="552"/>
      <c r="G6" s="552"/>
      <c r="H6" s="552"/>
      <c r="I6" s="552"/>
      <c r="J6" s="552"/>
      <c r="K6" s="552"/>
      <c r="L6" s="552"/>
      <c r="M6" s="66"/>
    </row>
    <row r="7" spans="1:13" s="2" customFormat="1" ht="11.25" customHeight="1"/>
    <row r="8" spans="1:13" ht="11.25" customHeight="1">
      <c r="A8" s="548" t="s">
        <v>21</v>
      </c>
      <c r="B8" s="549"/>
      <c r="C8" s="67"/>
      <c r="D8" s="67"/>
      <c r="E8" s="67"/>
      <c r="F8" s="67"/>
      <c r="G8" s="67"/>
      <c r="H8" s="67"/>
      <c r="I8" s="67"/>
      <c r="J8" s="67"/>
      <c r="K8" s="67"/>
      <c r="L8" s="68">
        <v>1</v>
      </c>
    </row>
    <row r="9" spans="1:13" ht="11.25" customHeight="1">
      <c r="A9" s="69"/>
      <c r="B9" s="545" t="s">
        <v>87</v>
      </c>
      <c r="C9" s="546"/>
      <c r="D9" s="546"/>
      <c r="E9" s="546"/>
      <c r="F9" s="546"/>
      <c r="G9" s="546"/>
      <c r="H9" s="546"/>
      <c r="I9" s="546"/>
      <c r="J9" s="546"/>
      <c r="K9" s="546"/>
      <c r="L9" s="546"/>
    </row>
    <row r="10" spans="1:13" s="3" customFormat="1" ht="11.25" customHeight="1">
      <c r="A10" s="70" t="s">
        <v>65</v>
      </c>
      <c r="B10" s="71">
        <v>2012</v>
      </c>
      <c r="C10" s="71">
        <v>2013</v>
      </c>
      <c r="D10" s="72" t="s">
        <v>45</v>
      </c>
      <c r="E10" s="84">
        <v>2014</v>
      </c>
      <c r="F10" s="72" t="s">
        <v>45</v>
      </c>
      <c r="G10" s="84">
        <v>2015</v>
      </c>
      <c r="H10" s="72" t="s">
        <v>45</v>
      </c>
      <c r="I10" s="70">
        <v>2016</v>
      </c>
      <c r="J10" s="72" t="s">
        <v>45</v>
      </c>
      <c r="K10" s="70">
        <v>2017</v>
      </c>
      <c r="L10" s="71" t="s">
        <v>45</v>
      </c>
    </row>
    <row r="11" spans="1:13" s="3" customFormat="1" ht="11.25" customHeight="1">
      <c r="A11" s="73"/>
      <c r="B11" s="74"/>
      <c r="C11" s="77"/>
      <c r="D11" s="75"/>
      <c r="E11" s="226"/>
      <c r="F11" s="76"/>
      <c r="G11" s="226"/>
      <c r="H11" s="76"/>
      <c r="I11" s="73"/>
      <c r="J11" s="76"/>
      <c r="K11" s="73"/>
      <c r="L11" s="77"/>
    </row>
    <row r="12" spans="1:13" ht="11.25" customHeight="1">
      <c r="A12" s="69" t="s">
        <v>82</v>
      </c>
      <c r="B12" s="267">
        <v>11000000</v>
      </c>
      <c r="C12" s="267">
        <v>12200000</v>
      </c>
      <c r="D12" s="78">
        <f>(C12-B12)/C12*100</f>
        <v>9.8360655737704921</v>
      </c>
      <c r="E12" s="64">
        <v>13300000</v>
      </c>
      <c r="F12" s="80">
        <f t="shared" ref="F12:F17" si="0">(E12-C12)/E12*100</f>
        <v>8.2706766917293226</v>
      </c>
      <c r="G12" s="64">
        <v>15000000</v>
      </c>
      <c r="H12" s="79">
        <f>(G12-E12)/G12*100</f>
        <v>11.333333333333332</v>
      </c>
      <c r="I12" s="64">
        <v>15640000</v>
      </c>
      <c r="J12" s="80">
        <f>(I12-G12)/I12*100</f>
        <v>4.0920716112531972</v>
      </c>
      <c r="K12" s="64">
        <v>14971832</v>
      </c>
      <c r="L12" s="80">
        <f t="shared" ref="J12:L19" si="1">(K12-I12)/K12*100</f>
        <v>-4.4628339404289337</v>
      </c>
    </row>
    <row r="13" spans="1:13" ht="11.25" customHeight="1">
      <c r="A13" s="67" t="s">
        <v>83</v>
      </c>
      <c r="B13" s="268">
        <v>10863000</v>
      </c>
      <c r="C13" s="268">
        <v>12053000</v>
      </c>
      <c r="D13" s="81">
        <f t="shared" ref="D13:D19" si="2">(C13-B13)/C13*100</f>
        <v>9.873060648801129</v>
      </c>
      <c r="E13" s="64">
        <v>13108000</v>
      </c>
      <c r="F13" s="80">
        <f t="shared" si="0"/>
        <v>8.0485199877937141</v>
      </c>
      <c r="G13" s="64">
        <v>14802000</v>
      </c>
      <c r="H13" s="80">
        <f>(G13-E13)/G13*100</f>
        <v>11.444399405485745</v>
      </c>
      <c r="I13" s="64">
        <v>15468090</v>
      </c>
      <c r="J13" s="80">
        <f t="shared" si="1"/>
        <v>4.3062200956937797</v>
      </c>
      <c r="K13" s="64">
        <v>14881024.68</v>
      </c>
      <c r="L13" s="80">
        <f t="shared" si="1"/>
        <v>-3.9450597833428249</v>
      </c>
    </row>
    <row r="14" spans="1:13" ht="11.25" customHeight="1">
      <c r="A14" s="67" t="s">
        <v>84</v>
      </c>
      <c r="B14" s="268">
        <v>11000000</v>
      </c>
      <c r="C14" s="268">
        <v>12200000</v>
      </c>
      <c r="D14" s="81">
        <f t="shared" si="2"/>
        <v>9.8360655737704921</v>
      </c>
      <c r="E14" s="64">
        <v>13300000</v>
      </c>
      <c r="F14" s="80">
        <f t="shared" si="0"/>
        <v>8.2706766917293226</v>
      </c>
      <c r="G14" s="64">
        <v>15000000</v>
      </c>
      <c r="H14" s="80">
        <f t="shared" ref="H14:H19" si="3">(G14-E14)/G14*100</f>
        <v>11.333333333333332</v>
      </c>
      <c r="I14" s="64">
        <v>15640000</v>
      </c>
      <c r="J14" s="80">
        <f t="shared" si="1"/>
        <v>4.0920716112531972</v>
      </c>
      <c r="K14" s="64">
        <v>14822114</v>
      </c>
      <c r="L14" s="80">
        <f t="shared" si="1"/>
        <v>-5.5180118031746348</v>
      </c>
    </row>
    <row r="15" spans="1:13" ht="11.25" customHeight="1">
      <c r="A15" s="67" t="s">
        <v>77</v>
      </c>
      <c r="B15" s="268">
        <f>11000000-466000</f>
        <v>10534000</v>
      </c>
      <c r="C15" s="268">
        <v>11800000</v>
      </c>
      <c r="D15" s="81">
        <f t="shared" si="2"/>
        <v>10.728813559322035</v>
      </c>
      <c r="E15" s="64">
        <v>12987000</v>
      </c>
      <c r="F15" s="80">
        <f t="shared" si="0"/>
        <v>9.1399091399091397</v>
      </c>
      <c r="G15" s="64">
        <v>14870000</v>
      </c>
      <c r="H15" s="80">
        <f t="shared" si="3"/>
        <v>12.663080026899799</v>
      </c>
      <c r="I15" s="64">
        <v>15539150</v>
      </c>
      <c r="J15" s="80">
        <f t="shared" si="1"/>
        <v>4.3062200956937797</v>
      </c>
      <c r="K15" s="64">
        <v>13908030.4</v>
      </c>
      <c r="L15" s="80">
        <f t="shared" si="1"/>
        <v>-11.727897862518329</v>
      </c>
    </row>
    <row r="16" spans="1:13" ht="11.25" customHeight="1">
      <c r="A16" s="67" t="s">
        <v>0</v>
      </c>
      <c r="B16" s="64">
        <f>B13-B15</f>
        <v>329000</v>
      </c>
      <c r="C16" s="64">
        <f>C13-C15</f>
        <v>253000</v>
      </c>
      <c r="D16" s="81">
        <f t="shared" si="2"/>
        <v>-30.039525691699602</v>
      </c>
      <c r="E16" s="64">
        <v>-105000</v>
      </c>
      <c r="F16" s="80">
        <f t="shared" si="0"/>
        <v>340.95238095238096</v>
      </c>
      <c r="G16" s="64">
        <f>G13-G15</f>
        <v>-68000</v>
      </c>
      <c r="H16" s="80">
        <f t="shared" si="3"/>
        <v>-54.411764705882348</v>
      </c>
      <c r="I16" s="64">
        <f>I13-I15</f>
        <v>-71060</v>
      </c>
      <c r="J16" s="80">
        <f t="shared" si="1"/>
        <v>4.3062200956937797</v>
      </c>
      <c r="K16" s="64">
        <v>-74257.7</v>
      </c>
      <c r="L16" s="80">
        <f t="shared" si="1"/>
        <v>4.3062200956937762</v>
      </c>
    </row>
    <row r="17" spans="1:12" ht="11.25" customHeight="1">
      <c r="A17" s="67" t="s">
        <v>7</v>
      </c>
      <c r="B17" s="268">
        <v>277705</v>
      </c>
      <c r="C17" s="268">
        <v>91000</v>
      </c>
      <c r="D17" s="81">
        <f t="shared" si="2"/>
        <v>-205.17032967032969</v>
      </c>
      <c r="E17" s="64">
        <v>-105000</v>
      </c>
      <c r="F17" s="80">
        <f t="shared" si="0"/>
        <v>186.66666666666666</v>
      </c>
      <c r="G17" s="64">
        <v>-136000</v>
      </c>
      <c r="H17" s="80">
        <f t="shared" si="3"/>
        <v>22.794117647058822</v>
      </c>
      <c r="I17" s="64">
        <v>306079.21000000002</v>
      </c>
      <c r="J17" s="80">
        <f t="shared" si="1"/>
        <v>144.43294270133538</v>
      </c>
      <c r="K17" s="64">
        <v>180673.59</v>
      </c>
      <c r="L17" s="80">
        <f t="shared" si="1"/>
        <v>-69.410044932410997</v>
      </c>
    </row>
    <row r="18" spans="1:12" ht="11.25" customHeight="1">
      <c r="A18" s="67" t="s">
        <v>88</v>
      </c>
      <c r="B18" s="268">
        <v>1065400</v>
      </c>
      <c r="C18" s="268">
        <v>602994</v>
      </c>
      <c r="D18" s="81">
        <v>0</v>
      </c>
      <c r="E18" s="64">
        <v>313000</v>
      </c>
      <c r="F18" s="75"/>
      <c r="G18" s="64">
        <v>0</v>
      </c>
      <c r="H18" s="80"/>
      <c r="I18" s="64">
        <v>0</v>
      </c>
      <c r="J18" s="80"/>
      <c r="K18" s="64">
        <v>0</v>
      </c>
      <c r="L18" s="80"/>
    </row>
    <row r="19" spans="1:12" ht="11.25" customHeight="1">
      <c r="A19" s="73" t="s">
        <v>86</v>
      </c>
      <c r="B19" s="269">
        <v>918400</v>
      </c>
      <c r="C19" s="269">
        <v>422994</v>
      </c>
      <c r="D19" s="82">
        <f t="shared" si="2"/>
        <v>-117.11891894447675</v>
      </c>
      <c r="E19" s="65">
        <v>-540200</v>
      </c>
      <c r="F19" s="83">
        <f>(E19-C19)/E19*100</f>
        <v>178.30322102924842</v>
      </c>
      <c r="G19" s="65">
        <v>-1421500</v>
      </c>
      <c r="H19" s="83">
        <f t="shared" si="3"/>
        <v>61.997889553288779</v>
      </c>
      <c r="I19" s="65">
        <v>-1727579.21</v>
      </c>
      <c r="J19" s="83">
        <f t="shared" si="1"/>
        <v>17.717231616835676</v>
      </c>
      <c r="K19" s="65">
        <v>-1546905.6000000001</v>
      </c>
      <c r="L19" s="80">
        <f t="shared" si="1"/>
        <v>-11.679679096125831</v>
      </c>
    </row>
    <row r="20" spans="1:12" ht="11.25" customHeight="1">
      <c r="A20" s="67"/>
      <c r="B20" s="67"/>
      <c r="C20" s="67"/>
      <c r="D20" s="67"/>
      <c r="E20" s="67"/>
      <c r="F20" s="67"/>
      <c r="G20" s="67"/>
      <c r="H20" s="67"/>
      <c r="I20" s="67"/>
      <c r="J20" s="67"/>
      <c r="K20" s="67"/>
      <c r="L20" s="67"/>
    </row>
    <row r="21" spans="1:12" ht="11.25" customHeight="1">
      <c r="A21" s="69"/>
      <c r="B21" s="547" t="s">
        <v>89</v>
      </c>
      <c r="C21" s="546"/>
      <c r="D21" s="546"/>
      <c r="E21" s="546"/>
      <c r="F21" s="546"/>
      <c r="G21" s="546"/>
      <c r="H21" s="546"/>
      <c r="I21" s="546"/>
      <c r="J21" s="546"/>
      <c r="K21" s="546"/>
      <c r="L21" s="546"/>
    </row>
    <row r="22" spans="1:12" s="3" customFormat="1" ht="11.25" customHeight="1">
      <c r="A22" s="70" t="s">
        <v>65</v>
      </c>
      <c r="B22" s="72">
        <f>B10</f>
        <v>2012</v>
      </c>
      <c r="C22" s="84">
        <f>C10</f>
        <v>2013</v>
      </c>
      <c r="D22" s="70" t="s">
        <v>45</v>
      </c>
      <c r="E22" s="72">
        <f>E10</f>
        <v>2014</v>
      </c>
      <c r="F22" s="70" t="s">
        <v>45</v>
      </c>
      <c r="G22" s="72">
        <f>G10</f>
        <v>2015</v>
      </c>
      <c r="H22" s="91" t="s">
        <v>45</v>
      </c>
      <c r="I22" s="72">
        <f>I10</f>
        <v>2016</v>
      </c>
      <c r="J22" s="91" t="s">
        <v>45</v>
      </c>
      <c r="K22" s="72">
        <f>K10</f>
        <v>2017</v>
      </c>
      <c r="L22" s="84" t="s">
        <v>45</v>
      </c>
    </row>
    <row r="23" spans="1:12" s="3" customFormat="1" ht="11.25" customHeight="1">
      <c r="A23" s="73"/>
      <c r="B23" s="76"/>
      <c r="C23" s="85"/>
      <c r="D23" s="73"/>
      <c r="E23" s="76"/>
      <c r="F23" s="73"/>
      <c r="G23" s="86"/>
      <c r="H23" s="73"/>
      <c r="I23" s="76"/>
      <c r="J23" s="73"/>
      <c r="K23" s="76"/>
      <c r="L23" s="85"/>
    </row>
    <row r="24" spans="1:12" ht="11.25" customHeight="1">
      <c r="A24" s="69" t="s">
        <v>82</v>
      </c>
      <c r="B24" s="79">
        <f t="shared" ref="B24:C29" si="4">B12/B$36</f>
        <v>10600366.194468535</v>
      </c>
      <c r="C24" s="79">
        <f t="shared" si="4"/>
        <v>11596958.174904943</v>
      </c>
      <c r="D24" s="78">
        <f t="shared" ref="D24:D31" si="5">(C24-B24)/C24*100</f>
        <v>8.5935636345827895</v>
      </c>
      <c r="E24" s="79">
        <f>E12/C$36-71.43</f>
        <v>12642514.121330798</v>
      </c>
      <c r="F24" s="79">
        <f t="shared" ref="F24:F31" si="6">(E24-C24)/E24*100</f>
        <v>8.2701584225384757</v>
      </c>
      <c r="G24" s="81">
        <f t="shared" ref="G24:G31" si="7">G12/G$37</f>
        <v>14285714.285714285</v>
      </c>
      <c r="H24" s="80">
        <f t="shared" ref="H24:H29" si="8">(G24-E24)/G24*100</f>
        <v>11.502401150684415</v>
      </c>
      <c r="I24" s="88">
        <f t="shared" ref="I24:I31" si="9">I12/I$37</f>
        <v>14253166.864121025</v>
      </c>
      <c r="J24" s="80">
        <f t="shared" ref="J24:J29" si="10">(I24-G24)/I24*100</f>
        <v>-0.22835221044938758</v>
      </c>
      <c r="K24" s="90">
        <f>K12/K$37-16.16</f>
        <v>13057573.234732252</v>
      </c>
      <c r="L24" s="80">
        <f t="shared" ref="L24:L31" si="11">(K24-I24)/K24*100</f>
        <v>-9.1563233680250509</v>
      </c>
    </row>
    <row r="25" spans="1:12" ht="11.25" customHeight="1">
      <c r="A25" s="67" t="s">
        <v>83</v>
      </c>
      <c r="B25" s="80">
        <f t="shared" si="4"/>
        <v>10468343.451864701</v>
      </c>
      <c r="C25" s="80">
        <f t="shared" si="4"/>
        <v>11457224.33460076</v>
      </c>
      <c r="D25" s="81">
        <f t="shared" si="5"/>
        <v>8.6310685193589496</v>
      </c>
      <c r="E25" s="80">
        <f>E13/C$36-71.43</f>
        <v>12460004.615627376</v>
      </c>
      <c r="F25" s="80">
        <f t="shared" si="6"/>
        <v>8.047992853621631</v>
      </c>
      <c r="G25" s="80">
        <f t="shared" si="7"/>
        <v>14097142.857142856</v>
      </c>
      <c r="H25" s="80">
        <f t="shared" si="8"/>
        <v>11.613262759027524</v>
      </c>
      <c r="I25" s="88">
        <f t="shared" si="9"/>
        <v>14096500.501230294</v>
      </c>
      <c r="J25" s="80">
        <f t="shared" si="10"/>
        <v>-4.556846662094589E-3</v>
      </c>
      <c r="K25" s="90">
        <f>K13/K$37-16.16</f>
        <v>12978376.20002093</v>
      </c>
      <c r="L25" s="80">
        <f t="shared" si="11"/>
        <v>-8.6152865657227675</v>
      </c>
    </row>
    <row r="26" spans="1:12" ht="11.25" customHeight="1">
      <c r="A26" s="67" t="s">
        <v>84</v>
      </c>
      <c r="B26" s="80">
        <f t="shared" si="4"/>
        <v>10600366.194468535</v>
      </c>
      <c r="C26" s="80">
        <f t="shared" si="4"/>
        <v>11596958.174904943</v>
      </c>
      <c r="D26" s="81">
        <f t="shared" si="5"/>
        <v>8.5935636345827895</v>
      </c>
      <c r="E26" s="80">
        <f>E14/C$36-76.19</f>
        <v>12642509.361330798</v>
      </c>
      <c r="F26" s="80">
        <f t="shared" si="6"/>
        <v>8.2701238855621995</v>
      </c>
      <c r="G26" s="80">
        <f t="shared" si="7"/>
        <v>14285714.285714285</v>
      </c>
      <c r="H26" s="80">
        <f t="shared" si="8"/>
        <v>11.502434470684413</v>
      </c>
      <c r="I26" s="88">
        <f t="shared" si="9"/>
        <v>14253166.864121025</v>
      </c>
      <c r="J26" s="80">
        <f t="shared" si="10"/>
        <v>-0.22835221044938758</v>
      </c>
      <c r="K26" s="90">
        <f>K14/K$37-17.74</f>
        <v>12926996.039870922</v>
      </c>
      <c r="L26" s="80">
        <f t="shared" si="11"/>
        <v>-10.25892496725284</v>
      </c>
    </row>
    <row r="27" spans="1:12" ht="11.25" customHeight="1">
      <c r="A27" s="67" t="s">
        <v>77</v>
      </c>
      <c r="B27" s="80">
        <f t="shared" si="4"/>
        <v>10151296.135684686</v>
      </c>
      <c r="C27" s="80">
        <f t="shared" si="4"/>
        <v>11216730.038022812</v>
      </c>
      <c r="D27" s="81">
        <f t="shared" si="5"/>
        <v>9.4986141123704186</v>
      </c>
      <c r="E27" s="80">
        <f>E15/C$36-76.19</f>
        <v>12344980.844220532</v>
      </c>
      <c r="F27" s="80">
        <f t="shared" si="6"/>
        <v>9.1393483751408606</v>
      </c>
      <c r="G27" s="80">
        <f t="shared" si="7"/>
        <v>14161904.761904761</v>
      </c>
      <c r="H27" s="80">
        <f t="shared" si="8"/>
        <v>12.829657791314327</v>
      </c>
      <c r="I27" s="88">
        <f t="shared" si="9"/>
        <v>14161259.455025973</v>
      </c>
      <c r="J27" s="80">
        <f t="shared" si="10"/>
        <v>-4.5568466621051197E-3</v>
      </c>
      <c r="K27" s="90">
        <f>K15/K$37-17.74</f>
        <v>12129783.760087214</v>
      </c>
      <c r="L27" s="80">
        <f t="shared" si="11"/>
        <v>-16.747831083545648</v>
      </c>
    </row>
    <row r="28" spans="1:12" ht="11.25" customHeight="1">
      <c r="A28" s="67" t="s">
        <v>0</v>
      </c>
      <c r="B28" s="80">
        <f t="shared" si="4"/>
        <v>317047.31618001347</v>
      </c>
      <c r="C28" s="80">
        <f t="shared" si="4"/>
        <v>240494.29657794675</v>
      </c>
      <c r="D28" s="81">
        <f t="shared" si="5"/>
        <v>-31.831532261412725</v>
      </c>
      <c r="E28" s="80">
        <f>E16/C$36+4.76</f>
        <v>-99805.125931558941</v>
      </c>
      <c r="F28" s="80">
        <f t="shared" si="6"/>
        <v>340.96387268011165</v>
      </c>
      <c r="G28" s="80">
        <f t="shared" si="7"/>
        <v>-64761.904761904756</v>
      </c>
      <c r="H28" s="80">
        <f t="shared" si="8"/>
        <v>-54.110856217848379</v>
      </c>
      <c r="I28" s="88">
        <f t="shared" si="9"/>
        <v>-64758.953795680311</v>
      </c>
      <c r="J28" s="80">
        <f t="shared" si="10"/>
        <v>-4.5568466620939741E-3</v>
      </c>
      <c r="K28" s="90">
        <f>K16/K$37+1.58</f>
        <v>-64761.807406244545</v>
      </c>
      <c r="L28" s="80">
        <f t="shared" si="11"/>
        <v>4.4063170540220358E-3</v>
      </c>
    </row>
    <row r="29" spans="1:12" ht="11.25" customHeight="1">
      <c r="A29" s="67" t="s">
        <v>7</v>
      </c>
      <c r="B29" s="80">
        <f t="shared" si="4"/>
        <v>267615.8812758986</v>
      </c>
      <c r="C29" s="80">
        <f t="shared" si="4"/>
        <v>86501.901140684407</v>
      </c>
      <c r="D29" s="81">
        <f t="shared" si="5"/>
        <v>-209.3757220903795</v>
      </c>
      <c r="E29" s="80">
        <f>E17/C$36-40</f>
        <v>-99849.885931558936</v>
      </c>
      <c r="F29" s="80">
        <f t="shared" si="6"/>
        <v>186.63194788222015</v>
      </c>
      <c r="G29" s="80">
        <f t="shared" si="7"/>
        <v>-129523.80952380951</v>
      </c>
      <c r="H29" s="80">
        <f t="shared" si="8"/>
        <v>22.910014538134639</v>
      </c>
      <c r="I29" s="88">
        <f t="shared" si="9"/>
        <v>278938.49448646681</v>
      </c>
      <c r="J29" s="80">
        <f t="shared" si="10"/>
        <v>146.43454097730981</v>
      </c>
      <c r="K29" s="90">
        <f>K17/K$37+46.6</f>
        <v>157619.93856619569</v>
      </c>
      <c r="L29" s="80">
        <f t="shared" si="11"/>
        <v>-76.96904149554716</v>
      </c>
    </row>
    <row r="30" spans="1:12" ht="11.25" customHeight="1">
      <c r="A30" s="67" t="s">
        <v>88</v>
      </c>
      <c r="B30" s="80">
        <f>B18/B$36</f>
        <v>1026693.6494169798</v>
      </c>
      <c r="C30" s="80"/>
      <c r="D30" s="81"/>
      <c r="E30" s="75"/>
      <c r="F30" s="80"/>
      <c r="G30" s="80">
        <f t="shared" si="7"/>
        <v>0</v>
      </c>
      <c r="H30" s="80">
        <v>0</v>
      </c>
      <c r="I30" s="88">
        <v>0</v>
      </c>
      <c r="J30" s="80">
        <v>0</v>
      </c>
      <c r="K30" s="90">
        <f>K18/K$37</f>
        <v>0</v>
      </c>
      <c r="L30" s="80">
        <v>0</v>
      </c>
    </row>
    <row r="31" spans="1:12" ht="11.25" customHeight="1">
      <c r="A31" s="73" t="s">
        <v>86</v>
      </c>
      <c r="B31" s="83">
        <f>B19/B$36</f>
        <v>885034.21027271845</v>
      </c>
      <c r="C31" s="83">
        <f>C19/C$36</f>
        <v>402085.55133079848</v>
      </c>
      <c r="D31" s="82">
        <f t="shared" si="5"/>
        <v>-120.1109210076029</v>
      </c>
      <c r="E31" s="83">
        <f>E19/C$36-4.76</f>
        <v>-513502.85885931557</v>
      </c>
      <c r="F31" s="83">
        <f t="shared" si="6"/>
        <v>178.3024951845415</v>
      </c>
      <c r="G31" s="83">
        <f t="shared" si="7"/>
        <v>-1353809.5238095238</v>
      </c>
      <c r="H31" s="83">
        <f>(G31-E31)/G31*100</f>
        <v>62.06978531113041</v>
      </c>
      <c r="I31" s="89">
        <f t="shared" si="9"/>
        <v>-1574390.9687414563</v>
      </c>
      <c r="J31" s="83">
        <f>(I31-G31)/I31*100</f>
        <v>14.010588812527416</v>
      </c>
      <c r="K31" s="92">
        <f>K19/K$37-45.84</f>
        <v>-1349169.8588383046</v>
      </c>
      <c r="L31" s="80">
        <f t="shared" si="11"/>
        <v>-16.693310217964477</v>
      </c>
    </row>
    <row r="32" spans="1:12" ht="11.25" customHeight="1">
      <c r="A32" s="1" t="s">
        <v>244</v>
      </c>
    </row>
    <row r="34" spans="1:12" ht="11.25" customHeight="1">
      <c r="B34" s="1">
        <v>2012</v>
      </c>
      <c r="C34" s="1">
        <v>2013</v>
      </c>
      <c r="E34" s="1">
        <v>2014</v>
      </c>
      <c r="G34" s="1">
        <v>2015</v>
      </c>
      <c r="I34" s="1">
        <v>2016</v>
      </c>
      <c r="K34" s="1">
        <v>2017</v>
      </c>
    </row>
    <row r="35" spans="1:12" ht="11.25" customHeight="1" thickBot="1">
      <c r="A35" s="1" t="s">
        <v>175</v>
      </c>
      <c r="B35" s="266">
        <v>3.7699999999999997E-2</v>
      </c>
      <c r="C35" s="266">
        <v>5.1999999999999998E-2</v>
      </c>
      <c r="E35" s="13">
        <v>4.4999999999999998E-2</v>
      </c>
      <c r="G35" s="13">
        <v>0.05</v>
      </c>
      <c r="I35" s="13">
        <v>4.4999999999999998E-2</v>
      </c>
      <c r="K35" s="13">
        <v>4.4999999999999998E-2</v>
      </c>
      <c r="L35" s="13"/>
    </row>
    <row r="36" spans="1:12" ht="11.25" customHeight="1">
      <c r="A36" s="1" t="s">
        <v>173</v>
      </c>
      <c r="B36" s="232">
        <v>1.0377000000000001</v>
      </c>
      <c r="C36" s="233">
        <v>1.052</v>
      </c>
      <c r="E36" s="16" t="s">
        <v>70</v>
      </c>
    </row>
    <row r="37" spans="1:12" ht="11.25" customHeight="1" thickBot="1">
      <c r="A37" s="1" t="s">
        <v>174</v>
      </c>
      <c r="E37" s="17" t="s">
        <v>72</v>
      </c>
      <c r="G37" s="14">
        <v>1.05</v>
      </c>
      <c r="I37" s="1">
        <v>1.0972999999999999</v>
      </c>
      <c r="K37" s="15">
        <v>1.1466000000000001</v>
      </c>
    </row>
    <row r="38" spans="1:12" ht="11.25" customHeight="1">
      <c r="A38" s="1" t="s">
        <v>400</v>
      </c>
    </row>
    <row r="41" spans="1:12" ht="27.75" customHeight="1">
      <c r="A41" s="544" t="s">
        <v>246</v>
      </c>
      <c r="B41" s="544"/>
      <c r="C41" s="544"/>
      <c r="D41" s="544"/>
      <c r="E41" s="544"/>
      <c r="F41" s="544"/>
      <c r="G41" s="544"/>
      <c r="H41" s="544"/>
      <c r="I41" s="544"/>
      <c r="J41" s="544"/>
      <c r="K41" s="544"/>
      <c r="L41" s="544"/>
    </row>
    <row r="42" spans="1:12" ht="11.25" customHeight="1">
      <c r="A42" s="93"/>
      <c r="B42" s="93"/>
      <c r="C42" s="93"/>
      <c r="D42" s="93"/>
      <c r="E42" s="93"/>
      <c r="F42" s="93"/>
      <c r="G42" s="93"/>
      <c r="H42" s="93"/>
      <c r="I42" s="93"/>
      <c r="J42" s="93"/>
      <c r="K42" s="93"/>
      <c r="L42" s="93"/>
    </row>
    <row r="43" spans="1:12" ht="11.25" customHeight="1">
      <c r="A43" s="53"/>
      <c r="B43" s="53"/>
      <c r="C43" s="53"/>
      <c r="D43" s="53"/>
      <c r="E43" s="53"/>
      <c r="F43" s="25"/>
      <c r="G43" s="25"/>
      <c r="H43" s="25"/>
      <c r="I43" s="25"/>
      <c r="J43" s="25"/>
      <c r="K43" s="25"/>
      <c r="L43" s="25"/>
    </row>
    <row r="44" spans="1:12" ht="11.25" customHeight="1">
      <c r="A44" s="25" t="s">
        <v>497</v>
      </c>
      <c r="B44" s="27"/>
      <c r="C44" s="28"/>
      <c r="D44" s="28"/>
      <c r="E44" s="8"/>
      <c r="F44" s="25"/>
      <c r="G44" s="25"/>
      <c r="H44" s="25"/>
      <c r="I44" s="25"/>
      <c r="J44" s="25"/>
      <c r="K44" s="25"/>
      <c r="L44" s="25"/>
    </row>
    <row r="45" spans="1:12" ht="11.25" customHeight="1">
      <c r="A45" s="25"/>
      <c r="B45" s="27"/>
      <c r="C45" s="28"/>
      <c r="D45" s="29"/>
      <c r="E45" s="8"/>
      <c r="F45" s="25"/>
      <c r="G45" s="25"/>
      <c r="H45" s="25"/>
      <c r="I45" s="25"/>
      <c r="J45" s="25"/>
      <c r="K45" s="25"/>
      <c r="L45" s="25"/>
    </row>
    <row r="46" spans="1:12" ht="11.25" customHeight="1">
      <c r="A46" s="25"/>
      <c r="B46" s="27"/>
      <c r="C46" s="28"/>
      <c r="D46" s="29"/>
      <c r="E46" s="8"/>
      <c r="F46" s="25"/>
      <c r="G46" s="25"/>
      <c r="H46" s="25"/>
      <c r="I46" s="25"/>
      <c r="J46" s="25"/>
      <c r="K46" s="25"/>
      <c r="L46" s="25"/>
    </row>
    <row r="47" spans="1:12" ht="11.25" customHeight="1">
      <c r="A47" s="25"/>
      <c r="B47" s="27"/>
      <c r="C47" s="28"/>
      <c r="D47" s="29"/>
      <c r="E47" s="8"/>
      <c r="F47" s="28"/>
      <c r="G47" s="25"/>
      <c r="H47" s="25"/>
      <c r="I47" s="25"/>
      <c r="J47" s="25"/>
      <c r="K47" s="25"/>
      <c r="L47" s="25"/>
    </row>
    <row r="48" spans="1:12" ht="11.25" customHeight="1">
      <c r="A48" s="25" t="s">
        <v>433</v>
      </c>
      <c r="B48"/>
      <c r="C48" s="28"/>
      <c r="D48" s="27" t="s">
        <v>434</v>
      </c>
      <c r="E48" s="8"/>
      <c r="F48" s="30"/>
      <c r="G48" s="25"/>
      <c r="H48" s="25"/>
      <c r="I48" s="25"/>
      <c r="J48" s="25"/>
      <c r="K48" s="25"/>
      <c r="L48" s="25"/>
    </row>
    <row r="49" spans="1:5" ht="11.25" customHeight="1">
      <c r="A49" s="25" t="s">
        <v>239</v>
      </c>
      <c r="B49"/>
      <c r="C49" s="30"/>
      <c r="D49" s="27" t="s">
        <v>240</v>
      </c>
      <c r="E49" s="8"/>
    </row>
    <row r="50" spans="1:5" ht="11.25" customHeight="1">
      <c r="A50" s="53"/>
      <c r="B50" s="53"/>
      <c r="C50" s="53"/>
      <c r="D50" s="53"/>
      <c r="E50" s="53"/>
    </row>
    <row r="120" spans="1:12" ht="11.25" customHeight="1" thickBot="1">
      <c r="A120" s="554"/>
      <c r="B120" s="555"/>
      <c r="C120" s="385"/>
      <c r="D120" s="385"/>
      <c r="E120" s="385"/>
      <c r="F120" s="385"/>
      <c r="G120" s="385"/>
      <c r="H120" s="385"/>
      <c r="I120" s="385"/>
      <c r="J120" s="385"/>
      <c r="K120" s="385"/>
      <c r="L120" s="386"/>
    </row>
    <row r="121" spans="1:12" ht="11.25" customHeight="1" thickTop="1" thickBot="1">
      <c r="A121" s="556"/>
      <c r="B121" s="557"/>
      <c r="C121" s="557"/>
      <c r="D121" s="557"/>
      <c r="E121" s="557"/>
      <c r="F121" s="557"/>
      <c r="G121" s="557"/>
      <c r="H121" s="557"/>
      <c r="I121" s="557"/>
      <c r="J121" s="557"/>
      <c r="K121" s="557"/>
      <c r="L121" s="558"/>
    </row>
    <row r="122" spans="1:12" ht="11.25" customHeight="1" thickTop="1" thickBot="1">
      <c r="A122" s="556"/>
      <c r="B122" s="559"/>
      <c r="C122" s="559"/>
      <c r="D122" s="559"/>
      <c r="E122" s="559"/>
      <c r="F122" s="559"/>
      <c r="G122" s="559"/>
      <c r="H122" s="559"/>
      <c r="I122" s="559"/>
      <c r="J122" s="559"/>
      <c r="K122" s="559"/>
      <c r="L122" s="561"/>
    </row>
    <row r="123" spans="1:12" ht="11.25" customHeight="1" thickTop="1" thickBot="1">
      <c r="A123" s="556"/>
      <c r="B123" s="560"/>
      <c r="C123" s="560"/>
      <c r="D123" s="560"/>
      <c r="E123" s="560"/>
      <c r="F123" s="560"/>
      <c r="G123" s="560"/>
      <c r="H123" s="560"/>
      <c r="I123" s="560"/>
      <c r="J123" s="560"/>
      <c r="K123" s="560"/>
      <c r="L123" s="562"/>
    </row>
    <row r="124" spans="1:12" ht="11.25" customHeight="1" thickTop="1">
      <c r="A124" s="387"/>
      <c r="B124" s="388"/>
      <c r="C124" s="388"/>
      <c r="D124" s="388"/>
      <c r="E124" s="388"/>
      <c r="F124" s="388"/>
      <c r="G124" s="388"/>
      <c r="H124" s="388"/>
      <c r="I124" s="388"/>
      <c r="J124" s="388"/>
      <c r="K124" s="388"/>
      <c r="L124" s="389"/>
    </row>
    <row r="125" spans="1:12" ht="11.25" customHeight="1">
      <c r="A125" s="390"/>
      <c r="B125" s="391"/>
      <c r="C125" s="391"/>
      <c r="D125" s="392"/>
      <c r="E125" s="391"/>
      <c r="F125" s="392"/>
      <c r="G125" s="391"/>
      <c r="H125" s="392"/>
      <c r="I125" s="391"/>
      <c r="J125" s="392"/>
      <c r="K125" s="391"/>
      <c r="L125" s="393"/>
    </row>
    <row r="126" spans="1:12" ht="11.25" customHeight="1">
      <c r="A126" s="390"/>
      <c r="B126" s="391"/>
      <c r="C126" s="391"/>
      <c r="D126" s="392"/>
      <c r="E126" s="391"/>
      <c r="F126" s="392"/>
      <c r="G126" s="391"/>
      <c r="H126" s="392"/>
      <c r="I126" s="391"/>
      <c r="J126" s="392"/>
      <c r="K126" s="391"/>
      <c r="L126" s="393"/>
    </row>
    <row r="127" spans="1:12" ht="11.25" customHeight="1">
      <c r="A127" s="390"/>
      <c r="B127" s="391"/>
      <c r="C127" s="391"/>
      <c r="D127" s="392"/>
      <c r="E127" s="391"/>
      <c r="F127" s="392"/>
      <c r="G127" s="391"/>
      <c r="H127" s="392"/>
      <c r="I127" s="391"/>
      <c r="J127" s="392"/>
      <c r="K127" s="391"/>
      <c r="L127" s="393"/>
    </row>
    <row r="128" spans="1:12" ht="11.25" customHeight="1">
      <c r="A128" s="390"/>
      <c r="B128" s="391"/>
      <c r="C128" s="391"/>
      <c r="D128" s="392"/>
      <c r="E128" s="391"/>
      <c r="F128" s="392"/>
      <c r="G128" s="391"/>
      <c r="H128" s="392"/>
      <c r="I128" s="391"/>
      <c r="J128" s="392"/>
      <c r="K128" s="391"/>
      <c r="L128" s="393"/>
    </row>
    <row r="129" spans="1:12" ht="11.25" customHeight="1">
      <c r="A129" s="390"/>
      <c r="B129" s="391"/>
      <c r="C129" s="391"/>
      <c r="D129" s="392"/>
      <c r="E129" s="391"/>
      <c r="F129" s="392"/>
      <c r="G129" s="391"/>
      <c r="H129" s="392"/>
      <c r="I129" s="391"/>
      <c r="J129" s="392"/>
      <c r="K129" s="391"/>
      <c r="L129" s="393"/>
    </row>
    <row r="130" spans="1:12" ht="11.25" customHeight="1">
      <c r="A130" s="390"/>
      <c r="B130" s="391"/>
      <c r="C130" s="391"/>
      <c r="D130" s="392"/>
      <c r="E130" s="391"/>
      <c r="F130" s="392"/>
      <c r="G130" s="391"/>
      <c r="H130" s="392"/>
      <c r="I130" s="391"/>
      <c r="J130" s="392"/>
      <c r="K130" s="391"/>
      <c r="L130" s="393"/>
    </row>
    <row r="131" spans="1:12" ht="11.25" customHeight="1" thickBot="1">
      <c r="A131" s="394"/>
      <c r="B131" s="395"/>
      <c r="C131" s="395"/>
      <c r="D131" s="396"/>
      <c r="E131" s="395"/>
      <c r="F131" s="396"/>
      <c r="G131" s="395"/>
      <c r="H131" s="396"/>
      <c r="I131" s="395"/>
      <c r="J131" s="396"/>
      <c r="K131" s="395"/>
      <c r="L131" s="397"/>
    </row>
    <row r="132" spans="1:12" ht="11.25" customHeight="1" thickTop="1" thickBot="1">
      <c r="A132" s="385"/>
      <c r="B132" s="385"/>
      <c r="C132" s="385"/>
      <c r="D132" s="385"/>
      <c r="E132" s="385"/>
      <c r="F132" s="385"/>
      <c r="G132" s="385"/>
      <c r="H132" s="385"/>
      <c r="I132" s="385"/>
      <c r="J132" s="385"/>
      <c r="K132" s="385"/>
      <c r="L132" s="385"/>
    </row>
    <row r="133" spans="1:12" ht="11.25" customHeight="1" thickTop="1" thickBot="1">
      <c r="A133" s="556"/>
      <c r="B133" s="557"/>
      <c r="C133" s="557"/>
      <c r="D133" s="557"/>
      <c r="E133" s="557"/>
      <c r="F133" s="557"/>
      <c r="G133" s="557"/>
      <c r="H133" s="557"/>
      <c r="I133" s="557"/>
      <c r="J133" s="557"/>
      <c r="K133" s="557"/>
      <c r="L133" s="558"/>
    </row>
    <row r="134" spans="1:12" ht="11.25" customHeight="1" thickTop="1" thickBot="1">
      <c r="A134" s="556"/>
      <c r="B134" s="559"/>
      <c r="C134" s="559"/>
      <c r="D134" s="559"/>
      <c r="E134" s="559"/>
      <c r="F134" s="559"/>
      <c r="G134" s="559"/>
      <c r="H134" s="559"/>
      <c r="I134" s="559"/>
      <c r="J134" s="559"/>
      <c r="K134" s="559"/>
      <c r="L134" s="561"/>
    </row>
    <row r="135" spans="1:12" ht="11.25" customHeight="1" thickTop="1" thickBot="1">
      <c r="A135" s="556"/>
      <c r="B135" s="560"/>
      <c r="C135" s="560"/>
      <c r="D135" s="560"/>
      <c r="E135" s="560"/>
      <c r="F135" s="560"/>
      <c r="G135" s="560"/>
      <c r="H135" s="560"/>
      <c r="I135" s="560"/>
      <c r="J135" s="560"/>
      <c r="K135" s="560"/>
      <c r="L135" s="562"/>
    </row>
    <row r="136" spans="1:12" ht="11.25" customHeight="1" thickTop="1">
      <c r="A136" s="387"/>
      <c r="B136" s="388"/>
      <c r="C136" s="388"/>
      <c r="D136" s="388"/>
      <c r="E136" s="388"/>
      <c r="F136" s="388"/>
      <c r="G136" s="388"/>
      <c r="H136" s="388"/>
      <c r="I136" s="388"/>
      <c r="J136" s="388"/>
      <c r="K136" s="388"/>
      <c r="L136" s="389"/>
    </row>
    <row r="137" spans="1:12" ht="11.25" customHeight="1">
      <c r="A137" s="390"/>
      <c r="B137" s="391"/>
      <c r="C137" s="392"/>
      <c r="D137" s="392"/>
      <c r="E137" s="391"/>
      <c r="F137" s="392"/>
      <c r="G137" s="392"/>
      <c r="H137" s="392"/>
      <c r="I137" s="391"/>
      <c r="J137" s="392"/>
      <c r="K137" s="392"/>
      <c r="L137" s="393"/>
    </row>
    <row r="138" spans="1:12" ht="11.25" customHeight="1">
      <c r="A138" s="390"/>
      <c r="B138" s="391"/>
      <c r="C138" s="392"/>
      <c r="D138" s="392"/>
      <c r="E138" s="391"/>
      <c r="F138" s="392"/>
      <c r="G138" s="392"/>
      <c r="H138" s="392"/>
      <c r="I138" s="391"/>
      <c r="J138" s="392"/>
      <c r="K138" s="392"/>
      <c r="L138" s="393"/>
    </row>
    <row r="139" spans="1:12" ht="11.25" customHeight="1">
      <c r="A139" s="390"/>
      <c r="B139" s="391"/>
      <c r="C139" s="392"/>
      <c r="D139" s="392"/>
      <c r="E139" s="391"/>
      <c r="F139" s="392"/>
      <c r="G139" s="392"/>
      <c r="H139" s="392"/>
      <c r="I139" s="391"/>
      <c r="J139" s="392"/>
      <c r="K139" s="392"/>
      <c r="L139" s="393"/>
    </row>
    <row r="140" spans="1:12" ht="11.25" customHeight="1">
      <c r="A140" s="390"/>
      <c r="B140" s="391"/>
      <c r="C140" s="391"/>
      <c r="D140" s="392"/>
      <c r="E140" s="391"/>
      <c r="F140" s="392"/>
      <c r="G140" s="391"/>
      <c r="H140" s="392"/>
      <c r="I140" s="391"/>
      <c r="J140" s="392"/>
      <c r="K140" s="391"/>
      <c r="L140" s="393"/>
    </row>
    <row r="141" spans="1:12" ht="11.25" customHeight="1">
      <c r="A141" s="390"/>
      <c r="B141" s="391"/>
      <c r="C141" s="392"/>
      <c r="D141" s="392"/>
      <c r="E141" s="391"/>
      <c r="F141" s="392"/>
      <c r="G141" s="392"/>
      <c r="H141" s="392"/>
      <c r="I141" s="391"/>
      <c r="J141" s="392"/>
      <c r="K141" s="392"/>
      <c r="L141" s="393"/>
    </row>
    <row r="142" spans="1:12" ht="11.25" customHeight="1">
      <c r="A142" s="390"/>
      <c r="B142" s="391"/>
      <c r="C142" s="392"/>
      <c r="D142" s="392"/>
      <c r="E142" s="391"/>
      <c r="F142" s="392"/>
      <c r="G142" s="392"/>
      <c r="H142" s="392"/>
      <c r="I142" s="391"/>
      <c r="J142" s="392"/>
      <c r="K142" s="392"/>
      <c r="L142" s="393"/>
    </row>
    <row r="143" spans="1:12" ht="11.25" customHeight="1" thickBot="1">
      <c r="A143" s="394"/>
      <c r="B143" s="395"/>
      <c r="C143" s="396"/>
      <c r="D143" s="396"/>
      <c r="E143" s="395"/>
      <c r="F143" s="396"/>
      <c r="G143" s="396"/>
      <c r="H143" s="396"/>
      <c r="I143" s="395"/>
      <c r="J143" s="396"/>
      <c r="K143" s="396"/>
      <c r="L143" s="397"/>
    </row>
    <row r="144" spans="1:12" ht="11.25" customHeight="1" thickTop="1">
      <c r="A144" s="385"/>
      <c r="B144" s="385"/>
      <c r="C144" s="385"/>
      <c r="D144" s="385"/>
      <c r="E144" s="385"/>
      <c r="F144" s="385"/>
      <c r="G144" s="385"/>
      <c r="H144" s="385"/>
      <c r="I144" s="385"/>
      <c r="J144" s="385"/>
      <c r="K144" s="385"/>
      <c r="L144" s="385"/>
    </row>
    <row r="145" spans="1:12" ht="11.25" customHeight="1">
      <c r="A145" s="385"/>
      <c r="B145" s="385"/>
      <c r="C145" s="385"/>
      <c r="D145" s="385"/>
      <c r="E145" s="385"/>
      <c r="F145" s="385"/>
      <c r="G145" s="385"/>
      <c r="H145" s="385"/>
      <c r="I145" s="385"/>
      <c r="J145" s="385"/>
      <c r="K145" s="385"/>
      <c r="L145" s="385"/>
    </row>
    <row r="146" spans="1:12" ht="11.25" customHeight="1">
      <c r="A146" s="563"/>
      <c r="B146" s="563"/>
      <c r="C146" s="563"/>
      <c r="D146" s="563"/>
      <c r="E146" s="563"/>
      <c r="F146" s="563"/>
      <c r="G146" s="563"/>
      <c r="H146" s="398"/>
      <c r="I146" s="398"/>
      <c r="J146" s="398"/>
      <c r="K146" s="398"/>
      <c r="L146" s="398"/>
    </row>
    <row r="147" spans="1:12" ht="11.25" customHeight="1">
      <c r="A147" s="385"/>
      <c r="B147" s="385"/>
      <c r="C147" s="385"/>
      <c r="D147" s="385"/>
      <c r="E147" s="385"/>
      <c r="F147" s="385"/>
      <c r="G147" s="385"/>
      <c r="H147" s="385"/>
      <c r="I147" s="385"/>
      <c r="J147" s="385"/>
      <c r="K147" s="385"/>
      <c r="L147" s="385"/>
    </row>
    <row r="148" spans="1:12" ht="11.25" customHeight="1">
      <c r="A148" s="564"/>
      <c r="B148" s="565"/>
      <c r="C148" s="565"/>
      <c r="D148" s="565"/>
      <c r="E148" s="565"/>
      <c r="F148" s="565"/>
      <c r="G148" s="566"/>
      <c r="H148" s="385"/>
      <c r="I148" s="385"/>
      <c r="J148" s="385"/>
      <c r="K148" s="385"/>
      <c r="L148" s="385"/>
    </row>
    <row r="149" spans="1:12" ht="11.25" customHeight="1">
      <c r="A149" s="399"/>
      <c r="B149" s="399"/>
      <c r="C149" s="399"/>
      <c r="D149" s="399"/>
      <c r="E149" s="399"/>
      <c r="F149" s="399"/>
      <c r="G149" s="399"/>
      <c r="H149" s="385"/>
      <c r="I149" s="385"/>
      <c r="J149" s="385"/>
      <c r="K149" s="385"/>
      <c r="L149" s="385"/>
    </row>
    <row r="150" spans="1:12" ht="11.25" customHeight="1">
      <c r="A150" s="400"/>
      <c r="B150" s="401"/>
      <c r="C150" s="401"/>
      <c r="D150" s="401"/>
      <c r="E150" s="401"/>
      <c r="F150" s="401"/>
      <c r="G150" s="401"/>
      <c r="H150" s="385"/>
      <c r="I150" s="385"/>
      <c r="J150" s="385"/>
      <c r="K150" s="385"/>
      <c r="L150" s="385"/>
    </row>
    <row r="151" spans="1:12" ht="11.25" customHeight="1">
      <c r="A151" s="400"/>
      <c r="B151" s="401"/>
      <c r="C151" s="401"/>
      <c r="D151" s="401"/>
      <c r="E151" s="401"/>
      <c r="F151" s="401"/>
      <c r="G151" s="401"/>
      <c r="H151" s="385"/>
      <c r="I151" s="385"/>
      <c r="J151" s="385"/>
      <c r="K151" s="385"/>
      <c r="L151" s="385"/>
    </row>
    <row r="152" spans="1:12" ht="11.25" customHeight="1">
      <c r="A152" s="567"/>
      <c r="B152" s="568"/>
      <c r="C152" s="402"/>
      <c r="D152" s="403"/>
      <c r="E152" s="403"/>
      <c r="F152" s="403"/>
      <c r="G152" s="403"/>
      <c r="H152" s="385"/>
      <c r="I152" s="385"/>
      <c r="J152" s="385"/>
      <c r="K152" s="385"/>
      <c r="L152" s="385"/>
    </row>
    <row r="153" spans="1:12" ht="11.25" customHeight="1">
      <c r="A153" s="400"/>
      <c r="B153" s="404"/>
      <c r="C153" s="404"/>
      <c r="D153" s="404"/>
      <c r="E153" s="405"/>
      <c r="F153" s="405"/>
      <c r="G153" s="405"/>
      <c r="H153" s="385"/>
      <c r="I153" s="385"/>
      <c r="J153" s="385"/>
      <c r="K153" s="385"/>
      <c r="L153" s="385"/>
    </row>
    <row r="154" spans="1:12" ht="11.25" customHeight="1">
      <c r="A154" s="385"/>
      <c r="B154" s="385"/>
      <c r="C154" s="385"/>
      <c r="D154" s="385"/>
      <c r="E154" s="385"/>
      <c r="F154" s="385"/>
      <c r="G154" s="385"/>
      <c r="H154" s="385"/>
      <c r="I154" s="385"/>
      <c r="J154" s="385"/>
      <c r="K154" s="385"/>
      <c r="L154" s="385"/>
    </row>
    <row r="155" spans="1:12" ht="11.25" customHeight="1">
      <c r="A155" s="385"/>
      <c r="B155" s="385"/>
      <c r="C155" s="385"/>
      <c r="D155" s="385"/>
      <c r="E155" s="385"/>
      <c r="F155" s="385"/>
      <c r="G155" s="385"/>
      <c r="H155" s="385"/>
      <c r="I155" s="385"/>
      <c r="J155" s="385"/>
      <c r="K155" s="385"/>
      <c r="L155" s="385"/>
    </row>
  </sheetData>
  <mergeCells count="39">
    <mergeCell ref="A146:G146"/>
    <mergeCell ref="A148:G148"/>
    <mergeCell ref="A152:B152"/>
    <mergeCell ref="A133:A135"/>
    <mergeCell ref="B133:L133"/>
    <mergeCell ref="B134:B135"/>
    <mergeCell ref="C134:C135"/>
    <mergeCell ref="D134:D135"/>
    <mergeCell ref="E134:E135"/>
    <mergeCell ref="F134:F135"/>
    <mergeCell ref="G134:G135"/>
    <mergeCell ref="H134:H135"/>
    <mergeCell ref="I134:I135"/>
    <mergeCell ref="J134:J135"/>
    <mergeCell ref="K134:K135"/>
    <mergeCell ref="L134:L135"/>
    <mergeCell ref="A120:B120"/>
    <mergeCell ref="A121:A123"/>
    <mergeCell ref="B121:L121"/>
    <mergeCell ref="B122:B123"/>
    <mergeCell ref="C122:C123"/>
    <mergeCell ref="D122:D123"/>
    <mergeCell ref="E122:E123"/>
    <mergeCell ref="F122:F123"/>
    <mergeCell ref="G122:G123"/>
    <mergeCell ref="H122:H123"/>
    <mergeCell ref="I122:I123"/>
    <mergeCell ref="J122:J123"/>
    <mergeCell ref="K122:K123"/>
    <mergeCell ref="L122:L123"/>
    <mergeCell ref="A41:L41"/>
    <mergeCell ref="B9:L9"/>
    <mergeCell ref="B21:L21"/>
    <mergeCell ref="A8:B8"/>
    <mergeCell ref="A2:L2"/>
    <mergeCell ref="A3:L3"/>
    <mergeCell ref="A4:L4"/>
    <mergeCell ref="A6:L6"/>
    <mergeCell ref="A5:L5"/>
  </mergeCells>
  <phoneticPr fontId="6" type="noConversion"/>
  <pageMargins left="0.78740157499999996" right="0.78740157499999996" top="0.984251969" bottom="0.984251969" header="0.49212598499999999" footer="0.49212598499999999"/>
  <pageSetup paperSize="9" scale="75" orientation="landscape" r:id="rId1"/>
  <headerFooter alignWithMargins="0">
    <oddHeader xml:space="preserve">&amp;LESTADO DO RIO GRANDE DO SUL
PREFEITURA MUNICIPAL DE BOA VISTA DO CADEADO
</oddHeader>
  </headerFooter>
  <drawing r:id="rId2"/>
</worksheet>
</file>

<file path=xl/worksheets/sheet8.xml><?xml version="1.0" encoding="utf-8"?>
<worksheet xmlns="http://schemas.openxmlformats.org/spreadsheetml/2006/main" xmlns:r="http://schemas.openxmlformats.org/officeDocument/2006/relationships">
  <sheetPr codeName="Plan22"/>
  <dimension ref="A3:M30"/>
  <sheetViews>
    <sheetView workbookViewId="0">
      <selection activeCell="B80" sqref="B80"/>
    </sheetView>
  </sheetViews>
  <sheetFormatPr defaultRowHeight="11.25" customHeight="1"/>
  <cols>
    <col min="1" max="1" width="33.5703125" style="20" customWidth="1"/>
    <col min="2" max="2" width="12.42578125" style="20" customWidth="1"/>
    <col min="3" max="3" width="9.140625" style="20" customWidth="1"/>
    <col min="4" max="4" width="14.85546875" style="20" customWidth="1"/>
    <col min="5" max="5" width="9.140625" style="20" customWidth="1"/>
    <col min="6" max="6" width="14.7109375" style="20" customWidth="1"/>
    <col min="7" max="7" width="9.85546875" style="20" customWidth="1"/>
    <col min="8" max="16384" width="9.140625" style="20"/>
  </cols>
  <sheetData>
    <row r="3" spans="1:13" ht="11.25" customHeight="1">
      <c r="A3" s="551" t="s">
        <v>68</v>
      </c>
      <c r="B3" s="552"/>
      <c r="C3" s="552"/>
      <c r="D3" s="552"/>
      <c r="E3" s="552"/>
      <c r="F3" s="552"/>
      <c r="G3" s="552"/>
      <c r="H3" s="552"/>
      <c r="I3" s="552"/>
    </row>
    <row r="4" spans="1:13" ht="11.25" customHeight="1">
      <c r="A4" s="551" t="s">
        <v>69</v>
      </c>
      <c r="B4" s="552"/>
      <c r="C4" s="552"/>
      <c r="D4" s="552"/>
      <c r="E4" s="552"/>
      <c r="F4" s="552"/>
      <c r="G4" s="552"/>
      <c r="H4" s="552"/>
      <c r="I4" s="552"/>
    </row>
    <row r="5" spans="1:13" ht="11.25" customHeight="1">
      <c r="A5" s="551" t="s">
        <v>171</v>
      </c>
      <c r="B5" s="552"/>
      <c r="C5" s="552"/>
      <c r="D5" s="552"/>
      <c r="E5" s="552"/>
      <c r="F5" s="552"/>
      <c r="G5" s="552"/>
      <c r="H5" s="552"/>
      <c r="I5" s="552"/>
      <c r="J5" s="95"/>
      <c r="K5" s="95"/>
      <c r="L5" s="95"/>
      <c r="M5" s="95"/>
    </row>
    <row r="6" spans="1:13" ht="14.25" customHeight="1">
      <c r="A6" s="552" t="s">
        <v>177</v>
      </c>
      <c r="B6" s="552"/>
      <c r="C6" s="552"/>
      <c r="D6" s="552"/>
      <c r="E6" s="552"/>
      <c r="F6" s="552"/>
      <c r="G6" s="552"/>
      <c r="H6" s="552"/>
      <c r="I6" s="552"/>
      <c r="J6" s="95"/>
      <c r="K6" s="95"/>
      <c r="L6" s="95"/>
      <c r="M6" s="95"/>
    </row>
    <row r="7" spans="1:13" ht="14.25" customHeight="1">
      <c r="A7" s="553">
        <v>2015</v>
      </c>
      <c r="B7" s="552"/>
      <c r="C7" s="552"/>
      <c r="D7" s="552"/>
      <c r="E7" s="552"/>
      <c r="F7" s="552"/>
      <c r="G7" s="552"/>
      <c r="H7" s="552"/>
      <c r="I7" s="552"/>
      <c r="J7" s="95"/>
      <c r="K7" s="95"/>
      <c r="L7" s="95"/>
      <c r="M7" s="95"/>
    </row>
    <row r="8" spans="1:13" ht="11.25" customHeight="1">
      <c r="A8" s="96"/>
      <c r="B8" s="96"/>
      <c r="C8" s="96"/>
      <c r="D8" s="96"/>
      <c r="E8" s="96"/>
      <c r="F8" s="96"/>
      <c r="G8" s="96"/>
    </row>
    <row r="9" spans="1:13" ht="11.25" customHeight="1">
      <c r="A9" s="575" t="s">
        <v>22</v>
      </c>
      <c r="B9" s="576"/>
      <c r="C9" s="97"/>
      <c r="D9" s="97"/>
      <c r="E9" s="97"/>
      <c r="F9" s="97"/>
      <c r="G9" s="98">
        <v>1</v>
      </c>
    </row>
    <row r="10" spans="1:13" ht="11.25" customHeight="1">
      <c r="A10" s="577" t="s">
        <v>90</v>
      </c>
      <c r="B10" s="572">
        <v>2013</v>
      </c>
      <c r="C10" s="574" t="s">
        <v>45</v>
      </c>
      <c r="D10" s="572">
        <v>2012</v>
      </c>
      <c r="E10" s="574" t="s">
        <v>45</v>
      </c>
      <c r="F10" s="572">
        <v>2011</v>
      </c>
      <c r="G10" s="579" t="s">
        <v>45</v>
      </c>
    </row>
    <row r="11" spans="1:13" s="54" customFormat="1" ht="11.25" customHeight="1">
      <c r="A11" s="578"/>
      <c r="B11" s="573"/>
      <c r="C11" s="573"/>
      <c r="D11" s="573"/>
      <c r="E11" s="573"/>
      <c r="F11" s="573"/>
      <c r="G11" s="580"/>
    </row>
    <row r="12" spans="1:13" ht="11.25" customHeight="1">
      <c r="A12" s="99" t="s">
        <v>91</v>
      </c>
      <c r="B12" s="64">
        <v>15568003.52</v>
      </c>
      <c r="C12" s="99">
        <v>100</v>
      </c>
      <c r="D12" s="64">
        <v>13461192.15</v>
      </c>
      <c r="E12" s="99">
        <v>100</v>
      </c>
      <c r="F12" s="64">
        <v>12735803.539999999</v>
      </c>
      <c r="G12" s="100">
        <v>100</v>
      </c>
    </row>
    <row r="13" spans="1:13" ht="11.25" customHeight="1">
      <c r="A13" s="99" t="s">
        <v>92</v>
      </c>
      <c r="B13" s="99"/>
      <c r="C13" s="99"/>
      <c r="D13" s="99"/>
      <c r="E13" s="99"/>
      <c r="F13" s="99"/>
      <c r="G13" s="100"/>
    </row>
    <row r="14" spans="1:13" ht="11.25" customHeight="1">
      <c r="A14" s="101" t="s">
        <v>93</v>
      </c>
      <c r="B14" s="101"/>
      <c r="C14" s="101"/>
      <c r="D14" s="101"/>
      <c r="E14" s="101"/>
      <c r="F14" s="101"/>
      <c r="G14" s="102"/>
    </row>
    <row r="15" spans="1:13" ht="11.25" customHeight="1">
      <c r="A15" s="103" t="s">
        <v>63</v>
      </c>
      <c r="B15" s="106">
        <f>B12</f>
        <v>15568003.52</v>
      </c>
      <c r="C15" s="103"/>
      <c r="D15" s="106">
        <f>D12</f>
        <v>13461192.15</v>
      </c>
      <c r="E15" s="103"/>
      <c r="F15" s="106">
        <f>F12</f>
        <v>12735803.539999999</v>
      </c>
      <c r="G15" s="104"/>
    </row>
    <row r="16" spans="1:13" s="38" customFormat="1" ht="11.25" customHeight="1">
      <c r="A16" s="105"/>
      <c r="B16" s="105"/>
      <c r="C16" s="105"/>
      <c r="D16" s="105"/>
      <c r="E16" s="105"/>
      <c r="F16" s="105"/>
      <c r="G16" s="105"/>
    </row>
    <row r="17" spans="1:8" ht="11.25" customHeight="1">
      <c r="A17" s="571" t="s">
        <v>247</v>
      </c>
      <c r="B17" s="571"/>
      <c r="C17" s="571"/>
      <c r="D17" s="571"/>
      <c r="E17" s="571"/>
      <c r="F17" s="571"/>
      <c r="G17" s="571"/>
    </row>
    <row r="19" spans="1:8" ht="39.75" customHeight="1">
      <c r="A19" s="569" t="s">
        <v>505</v>
      </c>
      <c r="B19" s="570"/>
      <c r="C19" s="570"/>
      <c r="D19" s="570"/>
      <c r="E19" s="570"/>
      <c r="F19" s="570"/>
      <c r="G19" s="570"/>
    </row>
    <row r="21" spans="1:8" ht="11.25" customHeight="1">
      <c r="A21" s="93"/>
      <c r="B21" s="93"/>
      <c r="C21" s="93"/>
      <c r="D21" s="93"/>
      <c r="E21" s="93"/>
      <c r="F21" s="93"/>
      <c r="G21" s="93"/>
      <c r="H21" s="93"/>
    </row>
    <row r="22" spans="1:8" ht="11.25" customHeight="1">
      <c r="A22" s="25" t="s">
        <v>497</v>
      </c>
      <c r="B22" s="27"/>
      <c r="C22" s="28"/>
      <c r="D22" s="28"/>
      <c r="E22" s="8"/>
      <c r="F22" s="25"/>
      <c r="G22" s="25"/>
      <c r="H22" s="25"/>
    </row>
    <row r="23" spans="1:8" ht="11.25" customHeight="1">
      <c r="A23" s="25"/>
      <c r="B23" s="27"/>
      <c r="C23" s="28"/>
      <c r="D23" s="29"/>
      <c r="E23" s="8"/>
      <c r="F23" s="25"/>
      <c r="G23" s="25"/>
      <c r="H23" s="25"/>
    </row>
    <row r="24" spans="1:8" ht="11.25" customHeight="1">
      <c r="A24" s="25"/>
      <c r="B24" s="27"/>
      <c r="C24" s="28"/>
      <c r="D24" s="29"/>
      <c r="E24" s="8"/>
      <c r="F24" s="25"/>
      <c r="G24" s="25"/>
      <c r="H24" s="25"/>
    </row>
    <row r="25" spans="1:8" ht="11.25" customHeight="1">
      <c r="A25" s="25"/>
      <c r="B25" s="27"/>
      <c r="C25" s="28"/>
      <c r="D25" s="29"/>
      <c r="E25" s="8"/>
      <c r="F25" s="28"/>
      <c r="G25" s="25"/>
      <c r="H25" s="25"/>
    </row>
    <row r="26" spans="1:8" ht="11.25" customHeight="1">
      <c r="A26" s="25" t="s">
        <v>433</v>
      </c>
      <c r="B26"/>
      <c r="C26" s="28"/>
      <c r="D26" s="27" t="s">
        <v>434</v>
      </c>
      <c r="E26" s="8"/>
      <c r="F26" s="30"/>
      <c r="G26" s="25"/>
      <c r="H26" s="25"/>
    </row>
    <row r="27" spans="1:8" ht="11.25" customHeight="1">
      <c r="A27" s="25" t="s">
        <v>239</v>
      </c>
      <c r="B27"/>
      <c r="C27" s="30"/>
      <c r="D27" s="27" t="s">
        <v>240</v>
      </c>
      <c r="E27" s="8"/>
      <c r="F27" s="1"/>
      <c r="G27" s="1"/>
      <c r="H27" s="25"/>
    </row>
    <row r="28" spans="1:8" ht="11.25" customHeight="1">
      <c r="A28" s="53"/>
      <c r="B28" s="53"/>
      <c r="C28" s="53"/>
      <c r="D28" s="53"/>
      <c r="E28" s="53"/>
      <c r="F28" s="1"/>
      <c r="G28" s="1"/>
      <c r="H28" s="1"/>
    </row>
    <row r="29" spans="1:8" ht="11.25" customHeight="1">
      <c r="A29" s="1"/>
      <c r="B29" s="1"/>
      <c r="C29" s="1"/>
      <c r="D29" s="1"/>
      <c r="E29" s="1"/>
      <c r="F29" s="1"/>
      <c r="G29" s="1"/>
      <c r="H29" s="1"/>
    </row>
    <row r="30" spans="1:8" ht="11.25" customHeight="1">
      <c r="A30" s="1"/>
      <c r="B30" s="1"/>
      <c r="C30" s="1"/>
      <c r="D30" s="1"/>
      <c r="E30" s="1"/>
      <c r="F30" s="1"/>
      <c r="G30" s="1"/>
      <c r="H30" s="1"/>
    </row>
  </sheetData>
  <mergeCells count="15">
    <mergeCell ref="A19:G19"/>
    <mergeCell ref="A7:I7"/>
    <mergeCell ref="A3:I3"/>
    <mergeCell ref="A4:I4"/>
    <mergeCell ref="A5:I5"/>
    <mergeCell ref="A6:I6"/>
    <mergeCell ref="A17:G17"/>
    <mergeCell ref="B10:B11"/>
    <mergeCell ref="C10:C11"/>
    <mergeCell ref="D10:D11"/>
    <mergeCell ref="E10:E11"/>
    <mergeCell ref="A9:B9"/>
    <mergeCell ref="A10:A11"/>
    <mergeCell ref="F10:F11"/>
    <mergeCell ref="G10:G11"/>
  </mergeCells>
  <phoneticPr fontId="6" type="noConversion"/>
  <pageMargins left="1.299212598425197" right="0.78740157480314965" top="0.98425196850393704" bottom="0.98425196850393704" header="0.51181102362204722" footer="0.51181102362204722"/>
  <pageSetup paperSize="9" orientation="landscape" verticalDpi="0" r:id="rId1"/>
  <headerFooter alignWithMargins="0">
    <oddHeader>&amp;LESTADO DO RIO GRANDE DO SUL
PREFEITURA MUNICIPAL DE BOA VISTA DO CADEADO</oddHeader>
  </headerFooter>
  <drawing r:id="rId2"/>
</worksheet>
</file>

<file path=xl/worksheets/sheet9.xml><?xml version="1.0" encoding="utf-8"?>
<worksheet xmlns="http://schemas.openxmlformats.org/spreadsheetml/2006/main" xmlns:r="http://schemas.openxmlformats.org/officeDocument/2006/relationships">
  <sheetPr codeName="Plan23"/>
  <dimension ref="A1:H43"/>
  <sheetViews>
    <sheetView view="pageLayout" workbookViewId="0">
      <selection activeCell="A38" sqref="A38"/>
    </sheetView>
  </sheetViews>
  <sheetFormatPr defaultRowHeight="11.25" customHeight="1"/>
  <cols>
    <col min="1" max="1" width="52.42578125" style="20" customWidth="1"/>
    <col min="2" max="2" width="17.5703125" style="20" customWidth="1"/>
    <col min="3" max="3" width="17.7109375" style="20" customWidth="1"/>
    <col min="4" max="4" width="18.85546875" style="20" customWidth="1"/>
    <col min="5" max="16384" width="9.140625" style="20"/>
  </cols>
  <sheetData>
    <row r="1" spans="1:8" ht="11.25" customHeight="1">
      <c r="A1" s="2"/>
      <c r="B1" s="2"/>
      <c r="C1" s="2"/>
      <c r="D1" s="2"/>
    </row>
    <row r="2" spans="1:8" ht="11.25" customHeight="1">
      <c r="A2" s="4"/>
      <c r="B2" s="5"/>
      <c r="C2" s="5"/>
      <c r="D2" s="6"/>
    </row>
    <row r="3" spans="1:8" ht="11.25" customHeight="1">
      <c r="A3" s="4"/>
      <c r="B3" s="5"/>
      <c r="C3" s="5"/>
      <c r="D3" s="6"/>
    </row>
    <row r="4" spans="1:8" ht="11.25" customHeight="1">
      <c r="A4" s="551" t="s">
        <v>68</v>
      </c>
      <c r="B4" s="552"/>
      <c r="C4" s="552"/>
      <c r="D4" s="552"/>
      <c r="E4" s="552"/>
      <c r="F4" s="552"/>
      <c r="G4" s="66"/>
      <c r="H4" s="66"/>
    </row>
    <row r="5" spans="1:8" ht="11.25" customHeight="1">
      <c r="A5" s="551" t="s">
        <v>69</v>
      </c>
      <c r="B5" s="552"/>
      <c r="C5" s="552"/>
      <c r="D5" s="552"/>
      <c r="E5" s="552"/>
      <c r="F5" s="552"/>
      <c r="G5" s="66"/>
      <c r="H5" s="66"/>
    </row>
    <row r="6" spans="1:8" ht="11.25" customHeight="1">
      <c r="A6" s="551" t="s">
        <v>179</v>
      </c>
      <c r="B6" s="552"/>
      <c r="C6" s="552"/>
      <c r="D6" s="552"/>
      <c r="E6" s="552"/>
      <c r="F6" s="552"/>
      <c r="G6" s="66"/>
      <c r="H6" s="66"/>
    </row>
    <row r="7" spans="1:8" ht="11.25" customHeight="1">
      <c r="A7" s="551" t="s">
        <v>180</v>
      </c>
      <c r="B7" s="552"/>
      <c r="C7" s="552"/>
      <c r="D7" s="552"/>
      <c r="E7" s="552"/>
      <c r="F7" s="552"/>
      <c r="G7" s="66"/>
      <c r="H7" s="66"/>
    </row>
    <row r="8" spans="1:8" ht="11.25" customHeight="1">
      <c r="A8" s="581">
        <v>2015</v>
      </c>
      <c r="B8" s="552"/>
      <c r="C8" s="552"/>
      <c r="D8" s="552"/>
      <c r="E8" s="552"/>
      <c r="F8" s="552"/>
      <c r="G8" s="66"/>
      <c r="H8" s="66"/>
    </row>
    <row r="9" spans="1:8" ht="11.25" customHeight="1">
      <c r="A9" s="4"/>
      <c r="B9" s="5"/>
      <c r="C9" s="5"/>
      <c r="D9" s="6"/>
    </row>
    <row r="10" spans="1:8" ht="11.25" customHeight="1">
      <c r="A10" s="18" t="s">
        <v>22</v>
      </c>
      <c r="B10" s="18"/>
      <c r="C10" s="18"/>
      <c r="D10" s="19">
        <v>1</v>
      </c>
    </row>
    <row r="11" spans="1:8" ht="11.25" customHeight="1">
      <c r="A11" s="588" t="s">
        <v>44</v>
      </c>
      <c r="B11" s="586" t="s">
        <v>511</v>
      </c>
      <c r="C11" s="586" t="s">
        <v>512</v>
      </c>
      <c r="D11" s="108">
        <v>2011</v>
      </c>
    </row>
    <row r="12" spans="1:8" ht="15.75" customHeight="1">
      <c r="A12" s="589"/>
      <c r="B12" s="587"/>
      <c r="C12" s="587"/>
      <c r="D12" s="109" t="s">
        <v>181</v>
      </c>
    </row>
    <row r="13" spans="1:8" ht="12.6" customHeight="1">
      <c r="A13" s="110" t="s">
        <v>187</v>
      </c>
      <c r="B13" s="111"/>
      <c r="C13" s="111"/>
      <c r="D13" s="112"/>
    </row>
    <row r="14" spans="1:8" ht="11.25" customHeight="1">
      <c r="A14" s="110" t="s">
        <v>58</v>
      </c>
      <c r="B14" s="131">
        <v>0</v>
      </c>
      <c r="C14" s="113">
        <v>0</v>
      </c>
      <c r="D14" s="113">
        <v>181863</v>
      </c>
    </row>
    <row r="15" spans="1:8" ht="12.6" customHeight="1">
      <c r="A15" s="114" t="s">
        <v>59</v>
      </c>
      <c r="B15" s="115"/>
      <c r="C15" s="115"/>
      <c r="D15" s="116"/>
    </row>
    <row r="16" spans="1:8" ht="11.25" customHeight="1">
      <c r="A16" s="114" t="s">
        <v>63</v>
      </c>
      <c r="B16" s="117"/>
      <c r="C16" s="117"/>
      <c r="D16" s="118"/>
    </row>
    <row r="17" spans="1:4" ht="11.25" customHeight="1">
      <c r="A17" s="590"/>
      <c r="B17" s="590"/>
      <c r="C17" s="590"/>
      <c r="D17" s="590"/>
    </row>
    <row r="18" spans="1:4" ht="11.25" customHeight="1">
      <c r="A18" s="584" t="s">
        <v>188</v>
      </c>
      <c r="B18" s="107">
        <v>2013</v>
      </c>
      <c r="C18" s="107">
        <v>2012</v>
      </c>
      <c r="D18" s="119">
        <v>2011</v>
      </c>
    </row>
    <row r="19" spans="1:4" ht="15.75" customHeight="1">
      <c r="A19" s="585"/>
      <c r="B19" s="120" t="s">
        <v>182</v>
      </c>
      <c r="C19" s="121" t="s">
        <v>60</v>
      </c>
      <c r="D19" s="122" t="s">
        <v>183</v>
      </c>
    </row>
    <row r="20" spans="1:4" ht="13.9" customHeight="1">
      <c r="A20" s="123" t="s">
        <v>189</v>
      </c>
      <c r="B20" s="110"/>
      <c r="C20" s="110"/>
      <c r="D20" s="124"/>
    </row>
    <row r="21" spans="1:4" ht="11.25" customHeight="1">
      <c r="A21" s="110" t="s">
        <v>94</v>
      </c>
      <c r="B21" s="110"/>
      <c r="C21" s="110"/>
      <c r="D21" s="124"/>
    </row>
    <row r="22" spans="1:4" ht="11.25" customHeight="1">
      <c r="A22" s="110" t="s">
        <v>95</v>
      </c>
      <c r="B22" s="131">
        <v>4647.74</v>
      </c>
      <c r="C22" s="113">
        <v>182234.83</v>
      </c>
      <c r="D22" s="113">
        <v>0</v>
      </c>
    </row>
    <row r="23" spans="1:4" ht="11.25" customHeight="1">
      <c r="A23" s="110" t="s">
        <v>96</v>
      </c>
      <c r="B23" s="110"/>
      <c r="C23" s="110"/>
      <c r="D23" s="124"/>
    </row>
    <row r="24" spans="1:4" ht="11.25" customHeight="1">
      <c r="A24" s="110" t="s">
        <v>5</v>
      </c>
      <c r="B24" s="110"/>
      <c r="C24" s="110"/>
      <c r="D24" s="124"/>
    </row>
    <row r="25" spans="1:4" ht="11.25" customHeight="1">
      <c r="A25" s="110" t="s">
        <v>97</v>
      </c>
      <c r="B25" s="110"/>
      <c r="C25" s="110"/>
      <c r="D25" s="124"/>
    </row>
    <row r="26" spans="1:4" ht="11.25" customHeight="1">
      <c r="A26" s="110" t="s">
        <v>98</v>
      </c>
      <c r="B26" s="110"/>
      <c r="C26" s="110"/>
      <c r="D26" s="124"/>
    </row>
    <row r="27" spans="1:4" ht="12.6" customHeight="1">
      <c r="A27" s="114" t="s">
        <v>79</v>
      </c>
      <c r="B27" s="114"/>
      <c r="C27" s="114"/>
      <c r="D27" s="125"/>
    </row>
    <row r="28" spans="1:4" ht="11.25" customHeight="1" thickBot="1">
      <c r="A28" s="126" t="s">
        <v>2</v>
      </c>
      <c r="B28" s="234">
        <f>B14-B22</f>
        <v>-4647.74</v>
      </c>
      <c r="C28" s="234">
        <f>C14-C22</f>
        <v>-182234.83</v>
      </c>
      <c r="D28" s="234">
        <f>D14-D22</f>
        <v>181863</v>
      </c>
    </row>
    <row r="29" spans="1:4" ht="11.25" customHeight="1" thickBot="1">
      <c r="A29" s="127" t="s">
        <v>3</v>
      </c>
      <c r="B29" s="128" t="s">
        <v>184</v>
      </c>
      <c r="C29" s="129" t="s">
        <v>185</v>
      </c>
      <c r="D29" s="129" t="s">
        <v>186</v>
      </c>
    </row>
    <row r="30" spans="1:4" ht="11.25" customHeight="1" thickBot="1">
      <c r="A30" s="127" t="s">
        <v>190</v>
      </c>
      <c r="B30" s="130"/>
      <c r="C30" s="130"/>
      <c r="D30" s="130"/>
    </row>
    <row r="31" spans="1:4" ht="11.25" customHeight="1">
      <c r="A31" s="571" t="s">
        <v>244</v>
      </c>
      <c r="B31" s="571"/>
      <c r="C31" s="571"/>
      <c r="D31" s="571"/>
    </row>
    <row r="33" spans="1:7" ht="11.25" customHeight="1">
      <c r="A33" s="582" t="s">
        <v>469</v>
      </c>
      <c r="B33" s="583"/>
      <c r="C33" s="583"/>
      <c r="D33" s="583"/>
    </row>
    <row r="34" spans="1:7" ht="16.5" customHeight="1">
      <c r="A34" s="583"/>
      <c r="B34" s="583"/>
      <c r="C34" s="583"/>
      <c r="D34" s="583"/>
    </row>
    <row r="36" spans="1:7" ht="11.25" customHeight="1">
      <c r="A36" s="27"/>
      <c r="B36" s="27"/>
      <c r="C36" s="94"/>
      <c r="D36" s="28"/>
      <c r="E36" s="25"/>
      <c r="F36" s="25"/>
      <c r="G36" s="25"/>
    </row>
    <row r="37" spans="1:7" ht="11.25" customHeight="1">
      <c r="A37" s="25" t="s">
        <v>497</v>
      </c>
      <c r="B37" s="27"/>
      <c r="C37" s="28"/>
      <c r="D37" s="28"/>
      <c r="E37" s="8"/>
      <c r="F37" s="25"/>
      <c r="G37" s="25"/>
    </row>
    <row r="38" spans="1:7" ht="11.25" customHeight="1">
      <c r="A38" s="25"/>
      <c r="B38" s="27"/>
      <c r="C38" s="28"/>
      <c r="D38" s="29"/>
      <c r="E38" s="8"/>
      <c r="F38" s="25"/>
      <c r="G38" s="25"/>
    </row>
    <row r="39" spans="1:7" ht="11.25" customHeight="1">
      <c r="A39" s="25"/>
      <c r="B39" s="27"/>
      <c r="C39" s="28"/>
      <c r="D39" s="29"/>
      <c r="E39" s="8"/>
      <c r="F39" s="25"/>
      <c r="G39" s="25"/>
    </row>
    <row r="40" spans="1:7" ht="11.25" customHeight="1">
      <c r="A40" s="25"/>
      <c r="B40" s="27"/>
      <c r="C40" s="28"/>
      <c r="D40" s="29"/>
      <c r="E40" s="8"/>
      <c r="F40" s="28"/>
      <c r="G40" s="25"/>
    </row>
    <row r="41" spans="1:7" ht="11.25" customHeight="1">
      <c r="A41" s="25" t="s">
        <v>433</v>
      </c>
      <c r="B41"/>
      <c r="C41" s="28"/>
      <c r="D41" s="27" t="s">
        <v>434</v>
      </c>
      <c r="E41" s="8"/>
      <c r="F41" s="30"/>
      <c r="G41" s="25"/>
    </row>
    <row r="42" spans="1:7" ht="11.25" customHeight="1">
      <c r="A42" s="25" t="s">
        <v>239</v>
      </c>
      <c r="B42"/>
      <c r="C42" s="30"/>
      <c r="D42" s="27" t="s">
        <v>240</v>
      </c>
      <c r="E42" s="8"/>
      <c r="F42" s="1"/>
      <c r="G42" s="1"/>
    </row>
    <row r="43" spans="1:7" ht="11.25" customHeight="1">
      <c r="A43" s="53"/>
      <c r="B43" s="53"/>
      <c r="C43" s="53"/>
      <c r="D43" s="53"/>
      <c r="E43" s="53"/>
      <c r="F43" s="1"/>
      <c r="G43" s="1"/>
    </row>
  </sheetData>
  <mergeCells count="12">
    <mergeCell ref="A33:D34"/>
    <mergeCell ref="A31:D31"/>
    <mergeCell ref="A18:A19"/>
    <mergeCell ref="B11:B12"/>
    <mergeCell ref="C11:C12"/>
    <mergeCell ref="A11:A12"/>
    <mergeCell ref="A17:D17"/>
    <mergeCell ref="A6:F6"/>
    <mergeCell ref="A4:F4"/>
    <mergeCell ref="A5:F5"/>
    <mergeCell ref="A7:F7"/>
    <mergeCell ref="A8:F8"/>
  </mergeCells>
  <phoneticPr fontId="6" type="noConversion"/>
  <pageMargins left="1.32" right="0.78740157499999996" top="0.984251969" bottom="0.984251969" header="0.49212598499999999" footer="0.49212598499999999"/>
  <pageSetup paperSize="9" scale="75" orientation="landscape" verticalDpi="1200" r:id="rId1"/>
  <headerFooter alignWithMargins="0">
    <oddHeader>&amp;LESTADO DO RIO GRANDE DO SUL
PREFEITURA MUNICIPAL DE BOA VISTA DO CADEADO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14</vt:i4>
      </vt:variant>
    </vt:vector>
  </HeadingPairs>
  <TitlesOfParts>
    <vt:vector size="14" baseType="lpstr">
      <vt:lpstr>Anexo I(a)- Receita e Despesa</vt:lpstr>
      <vt:lpstr>Anexo II-RCL</vt:lpstr>
      <vt:lpstr>Anexo III-(a)Metas</vt:lpstr>
      <vt:lpstr>Anexo III-(b)Met.</vt:lpstr>
      <vt:lpstr>Anexo III-(c) Res.Nominal</vt:lpstr>
      <vt:lpstr>Anexo III-(d) AA</vt:lpstr>
      <vt:lpstr>Anexo III- (e)-3exer</vt:lpstr>
      <vt:lpstr>Anexo III-(f)EPL</vt:lpstr>
      <vt:lpstr>Anexo III-(g)OAA</vt:lpstr>
      <vt:lpstr>Anexo III-(h)ECRR</vt:lpstr>
      <vt:lpstr>Anexo III-(i) DOCC</vt:lpstr>
      <vt:lpstr>Anexo IV - ARF</vt:lpstr>
      <vt:lpstr>Anexo V-RPA</vt:lpstr>
      <vt:lpstr>Anexo VI -Pessoal</vt:lpstr>
    </vt:vector>
  </TitlesOfParts>
  <Company>Ministério da Fazenda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RREO</dc:title>
  <dc:creator>GEINC/CCONT/STN</dc:creator>
  <cp:lastModifiedBy>Contabil1</cp:lastModifiedBy>
  <cp:lastPrinted>2014-08-26T16:16:36Z</cp:lastPrinted>
  <dcterms:created xsi:type="dcterms:W3CDTF">2004-08-09T19:29:24Z</dcterms:created>
  <dcterms:modified xsi:type="dcterms:W3CDTF">2014-08-26T16:49:24Z</dcterms:modified>
</cp:coreProperties>
</file>