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aPasta_de_trabalho" defaultThemeVersion="124226"/>
  <bookViews>
    <workbookView xWindow="-135" yWindow="-90" windowWidth="12120" windowHeight="9120" tabRatio="904" firstSheet="8" activeTab="15"/>
  </bookViews>
  <sheets>
    <sheet name="Anexo I(a)- Receita e Despesa" sheetId="38" r:id="rId1"/>
    <sheet name="Anexo I(b)Metodologia Receita" sheetId="46" r:id="rId2"/>
    <sheet name="Anexo II-RCL" sheetId="45" r:id="rId3"/>
    <sheet name="Anexo III-(a)Metas" sheetId="35" r:id="rId4"/>
    <sheet name="Anexo III-(b)Met." sheetId="11" r:id="rId5"/>
    <sheet name="Anexo III-(c) Res.Nominal" sheetId="47" r:id="rId6"/>
    <sheet name="Anexo III-(d) AA" sheetId="34" r:id="rId7"/>
    <sheet name="Anexo III- (e)-3exer" sheetId="33" r:id="rId8"/>
    <sheet name="Anexo III-(f)EPL" sheetId="32" r:id="rId9"/>
    <sheet name="Anexo III-(g)OAA" sheetId="31" r:id="rId10"/>
    <sheet name="Anexo IV- (h)ARPPS" sheetId="30" r:id="rId11"/>
    <sheet name="Anexo III-(h)ECRR" sheetId="29" r:id="rId12"/>
    <sheet name="Anexo III-(i) DOCC" sheetId="28" r:id="rId13"/>
    <sheet name="Anexo IV - ARF" sheetId="41" r:id="rId14"/>
    <sheet name="Anexo V-RPA" sheetId="42" r:id="rId15"/>
    <sheet name="Anexo VI -Pessoal" sheetId="43" r:id="rId16"/>
  </sheets>
  <definedNames>
    <definedName name="_Toc81141672" localSheetId="3">'Anexo III-(a)Metas'!#REF!</definedName>
    <definedName name="_Toc81141690" localSheetId="7">'Anexo III- (e)-3exer'!#REF!</definedName>
    <definedName name="_Toc81141697" localSheetId="7">'Anexo III- (e)-3exer'!#REF!</definedName>
    <definedName name="_Toc81141725" localSheetId="12">'Anexo III-(i) DOCC'!#REF!</definedName>
    <definedName name="Ganhos_e_perdas_de_receita" localSheetId="4">#REF!</definedName>
    <definedName name="Ganhos_e_Perdas_de_Receita_99" localSheetId="4">#REF!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 localSheetId="4">#REF!,#REF!</definedName>
    <definedName name="Planilha_1CabGráfico" localSheetId="4">#REF!</definedName>
    <definedName name="Planilha_1TítCols" localSheetId="4">#REF!,#REF!</definedName>
    <definedName name="Planilha_1TítLins" localSheetId="4">#REF!</definedName>
    <definedName name="Planilha_2ÁreaTotal" localSheetId="4">#REF!,#REF!</definedName>
    <definedName name="Planilha_2CabGráfico" localSheetId="4">#REF!</definedName>
    <definedName name="Planilha_2TítCols" localSheetId="4">#REF!,#REF!</definedName>
    <definedName name="Planilha_2TítLins" localSheetId="4">#REF!</definedName>
    <definedName name="Planilha_3ÁreaTotal" localSheetId="4">#REF!,#REF!</definedName>
    <definedName name="Planilha_3CabGráfico" localSheetId="4">#REF!</definedName>
    <definedName name="Planilha_3TítCols" localSheetId="4">#REF!,#REF!</definedName>
    <definedName name="Planilha_3TítLins" localSheetId="4">#REF!</definedName>
    <definedName name="Tabela_1___Déficit_da_Previdência_Social__RGPS" localSheetId="4">#REF!</definedName>
    <definedName name="Tabela_10___Resultado_Primário_do_Governo_Central_em_1999" localSheetId="4">#REF!</definedName>
    <definedName name="Tabela_2___Contribuições_Previdenciárias" localSheetId="4">#REF!</definedName>
    <definedName name="Tabela_3___Benefícios__previsto_x_realizado" localSheetId="4">#REF!</definedName>
    <definedName name="Tabela_4___Receitas_Administradas_pela_SRF__previsto_x_realizado" localSheetId="4">#REF!</definedName>
    <definedName name="Tabela_5___Receitas_Administradas_em_Agosto" localSheetId="4">#REF!</definedName>
    <definedName name="Tabela_6___Receitas_Diretamente_Arrecadadas" localSheetId="4">#REF!</definedName>
    <definedName name="Tabela_7___Déficit_da_Previdência_Social_em_1999" localSheetId="4">#REF!</definedName>
    <definedName name="Tabela_8___Receitas_Administradas__revisão_da_previsão" localSheetId="4">#REF!</definedName>
    <definedName name="Tabela_9___Resultado_Primário_de_1999" localSheetId="4">#REF!</definedName>
  </definedNames>
  <calcPr calcId="125725"/>
</workbook>
</file>

<file path=xl/calcChain.xml><?xml version="1.0" encoding="utf-8"?>
<calcChain xmlns="http://schemas.openxmlformats.org/spreadsheetml/2006/main">
  <c r="C45" i="43"/>
  <c r="C38"/>
  <c r="C37"/>
  <c r="C72"/>
  <c r="D66" i="42" l="1"/>
  <c r="F15" i="32"/>
  <c r="D15"/>
  <c r="K16" i="33"/>
  <c r="I16"/>
  <c r="G16"/>
  <c r="E16"/>
  <c r="C16"/>
  <c r="B16"/>
  <c r="D17" i="34"/>
  <c r="E18"/>
  <c r="E17"/>
  <c r="E19"/>
  <c r="E21"/>
  <c r="E16"/>
  <c r="E15"/>
  <c r="E14"/>
  <c r="C15"/>
  <c r="C16"/>
  <c r="C17"/>
  <c r="C18"/>
  <c r="C19"/>
  <c r="C20"/>
  <c r="C21"/>
  <c r="C14"/>
  <c r="B18"/>
  <c r="J20" i="35" l="1"/>
  <c r="J19"/>
  <c r="J18"/>
  <c r="J16"/>
  <c r="J15"/>
  <c r="J14"/>
  <c r="J13"/>
  <c r="G20"/>
  <c r="G19"/>
  <c r="G18"/>
  <c r="G16"/>
  <c r="G15"/>
  <c r="G14"/>
  <c r="G13"/>
  <c r="D20"/>
  <c r="D19"/>
  <c r="D18"/>
  <c r="D16"/>
  <c r="D15"/>
  <c r="D14"/>
  <c r="D13"/>
  <c r="H48" i="11"/>
  <c r="H35"/>
  <c r="E35"/>
  <c r="H39"/>
  <c r="E39"/>
  <c r="E51" s="1"/>
  <c r="H47"/>
  <c r="E47"/>
  <c r="H46"/>
  <c r="H43"/>
  <c r="H41"/>
  <c r="H38"/>
  <c r="H37"/>
  <c r="H36"/>
  <c r="E36"/>
  <c r="E46"/>
  <c r="E43"/>
  <c r="E41"/>
  <c r="B47"/>
  <c r="E38"/>
  <c r="E37"/>
  <c r="B40"/>
  <c r="H20"/>
  <c r="H18" s="1"/>
  <c r="E18"/>
  <c r="E10" s="1"/>
  <c r="H24"/>
  <c r="B20"/>
  <c r="B18" s="1"/>
  <c r="B10" s="1"/>
  <c r="E21"/>
  <c r="E24"/>
  <c r="E32" s="1"/>
  <c r="E16"/>
  <c r="B32"/>
  <c r="B23"/>
  <c r="B24"/>
  <c r="B16"/>
  <c r="G50" i="38"/>
  <c r="H50" s="1"/>
  <c r="I50" s="1"/>
  <c r="F49"/>
  <c r="F48" s="1"/>
  <c r="E48"/>
  <c r="D48"/>
  <c r="C48"/>
  <c r="H26"/>
  <c r="I26" s="1"/>
  <c r="H42"/>
  <c r="I42" s="1"/>
  <c r="G43"/>
  <c r="H43" s="1"/>
  <c r="I43" s="1"/>
  <c r="G20"/>
  <c r="H20" s="1"/>
  <c r="I20" s="1"/>
  <c r="G11"/>
  <c r="H11" s="1"/>
  <c r="I11" s="1"/>
  <c r="G41"/>
  <c r="H41" s="1"/>
  <c r="I41" s="1"/>
  <c r="G40"/>
  <c r="H40" s="1"/>
  <c r="I40" s="1"/>
  <c r="G39"/>
  <c r="H39" s="1"/>
  <c r="I39" s="1"/>
  <c r="F38"/>
  <c r="E38"/>
  <c r="D38"/>
  <c r="C38"/>
  <c r="G36"/>
  <c r="H36" s="1"/>
  <c r="I36" s="1"/>
  <c r="G35"/>
  <c r="H35" s="1"/>
  <c r="I35" s="1"/>
  <c r="G34"/>
  <c r="H34" s="1"/>
  <c r="I34" s="1"/>
  <c r="G33"/>
  <c r="H33" s="1"/>
  <c r="I33" s="1"/>
  <c r="G32"/>
  <c r="H32" s="1"/>
  <c r="I32" s="1"/>
  <c r="F31"/>
  <c r="E31"/>
  <c r="D31"/>
  <c r="C31"/>
  <c r="G30"/>
  <c r="H30" s="1"/>
  <c r="I30" s="1"/>
  <c r="G29"/>
  <c r="H29" s="1"/>
  <c r="I29" s="1"/>
  <c r="G28"/>
  <c r="H28" s="1"/>
  <c r="I28" s="1"/>
  <c r="G27"/>
  <c r="H27" s="1"/>
  <c r="I27" s="1"/>
  <c r="G25"/>
  <c r="H25" s="1"/>
  <c r="I25" s="1"/>
  <c r="J24"/>
  <c r="G23"/>
  <c r="G22"/>
  <c r="F22"/>
  <c r="E22"/>
  <c r="D22"/>
  <c r="C22"/>
  <c r="F21"/>
  <c r="E21"/>
  <c r="D21"/>
  <c r="C21"/>
  <c r="G19"/>
  <c r="H19" s="1"/>
  <c r="I19" s="1"/>
  <c r="G16"/>
  <c r="F16"/>
  <c r="E16"/>
  <c r="D16"/>
  <c r="C16"/>
  <c r="G15"/>
  <c r="G14" s="1"/>
  <c r="F14"/>
  <c r="E14"/>
  <c r="D14"/>
  <c r="C14"/>
  <c r="G10"/>
  <c r="F10"/>
  <c r="F44" s="1"/>
  <c r="E10"/>
  <c r="E44" s="1"/>
  <c r="D10"/>
  <c r="D44" s="1"/>
  <c r="C10"/>
  <c r="C44" s="1"/>
  <c r="G31" l="1"/>
  <c r="G21" s="1"/>
  <c r="G38"/>
  <c r="H15"/>
  <c r="I15" s="1"/>
  <c r="G49"/>
  <c r="H49" s="1"/>
  <c r="I49" s="1"/>
  <c r="J23"/>
  <c r="H23"/>
  <c r="I23" s="1"/>
  <c r="G44"/>
  <c r="J26"/>
  <c r="J42"/>
  <c r="H31" l="1"/>
  <c r="I31"/>
  <c r="H16"/>
  <c r="I16"/>
  <c r="H10"/>
  <c r="I10"/>
  <c r="J40"/>
  <c r="J35"/>
  <c r="J27"/>
  <c r="J20"/>
  <c r="J43"/>
  <c r="J34"/>
  <c r="J30"/>
  <c r="J19"/>
  <c r="J11"/>
  <c r="H38"/>
  <c r="J38" s="1"/>
  <c r="I38"/>
  <c r="H14"/>
  <c r="I14"/>
  <c r="I22"/>
  <c r="H22"/>
  <c r="J33"/>
  <c r="J29"/>
  <c r="J25"/>
  <c r="J41"/>
  <c r="J36"/>
  <c r="J32"/>
  <c r="J28"/>
  <c r="J15"/>
  <c r="I21" l="1"/>
  <c r="I44" s="1"/>
  <c r="J14"/>
  <c r="J39"/>
  <c r="H21"/>
  <c r="J22"/>
  <c r="J10"/>
  <c r="J16"/>
  <c r="J31"/>
  <c r="J21" l="1"/>
  <c r="H44"/>
  <c r="J44" s="1"/>
  <c r="F15" i="29" l="1"/>
  <c r="E15"/>
  <c r="B28" i="31"/>
  <c r="B15" i="32"/>
  <c r="I20" i="35"/>
  <c r="I18"/>
  <c r="I16"/>
  <c r="I15"/>
  <c r="I14"/>
  <c r="I13"/>
  <c r="F20"/>
  <c r="F19"/>
  <c r="F18"/>
  <c r="F16"/>
  <c r="F15"/>
  <c r="F14"/>
  <c r="F13"/>
  <c r="C20"/>
  <c r="C19"/>
  <c r="C16"/>
  <c r="C15"/>
  <c r="C14"/>
  <c r="C13"/>
  <c r="I30" i="33"/>
  <c r="G30"/>
  <c r="H30" s="1"/>
  <c r="I31"/>
  <c r="I29"/>
  <c r="I28"/>
  <c r="I27"/>
  <c r="I26"/>
  <c r="I25"/>
  <c r="I24"/>
  <c r="G31"/>
  <c r="G29"/>
  <c r="G28"/>
  <c r="G27"/>
  <c r="G26"/>
  <c r="G25"/>
  <c r="G24"/>
  <c r="C31"/>
  <c r="C29"/>
  <c r="C28"/>
  <c r="C27"/>
  <c r="C26"/>
  <c r="C25"/>
  <c r="C24"/>
  <c r="B31"/>
  <c r="B29"/>
  <c r="B28"/>
  <c r="B27"/>
  <c r="B26"/>
  <c r="B25"/>
  <c r="G22"/>
  <c r="E22"/>
  <c r="C22"/>
  <c r="B22"/>
  <c r="B24"/>
  <c r="E20" i="34"/>
  <c r="J30" i="33" l="1"/>
  <c r="I51" i="11" l="1"/>
  <c r="E15"/>
  <c r="B15"/>
  <c r="H32"/>
  <c r="C10" i="47"/>
  <c r="B35" i="11" l="1"/>
  <c r="B39" s="1"/>
  <c r="B51" s="1"/>
  <c r="K31" i="33" l="1"/>
  <c r="K29"/>
  <c r="K27"/>
  <c r="L27" s="1"/>
  <c r="K26"/>
  <c r="K25"/>
  <c r="K24"/>
  <c r="E31"/>
  <c r="E29"/>
  <c r="E28"/>
  <c r="E27"/>
  <c r="E26"/>
  <c r="E25"/>
  <c r="E24"/>
  <c r="E42" i="11"/>
  <c r="B21"/>
  <c r="G48" i="38"/>
  <c r="K37"/>
  <c r="K20"/>
  <c r="D18" i="41"/>
  <c r="B18"/>
  <c r="B16" i="28"/>
  <c r="B22" s="1"/>
  <c r="F33" i="29"/>
  <c r="E33"/>
  <c r="D33"/>
  <c r="L19" i="33"/>
  <c r="L17"/>
  <c r="L15"/>
  <c r="L14"/>
  <c r="L13"/>
  <c r="L12"/>
  <c r="J19"/>
  <c r="J17"/>
  <c r="J15"/>
  <c r="J14"/>
  <c r="J13"/>
  <c r="J12"/>
  <c r="H17"/>
  <c r="H19"/>
  <c r="H15"/>
  <c r="H14"/>
  <c r="H12"/>
  <c r="H13"/>
  <c r="F19"/>
  <c r="F17"/>
  <c r="F15"/>
  <c r="F14"/>
  <c r="F13"/>
  <c r="F12"/>
  <c r="D13"/>
  <c r="D14"/>
  <c r="D15"/>
  <c r="D17"/>
  <c r="D19"/>
  <c r="D12"/>
  <c r="K28"/>
  <c r="F21" i="34"/>
  <c r="G21" s="1"/>
  <c r="F20"/>
  <c r="F19"/>
  <c r="G19" s="1"/>
  <c r="F18"/>
  <c r="G18" s="1"/>
  <c r="F17"/>
  <c r="G17" s="1"/>
  <c r="F16"/>
  <c r="G16" s="1"/>
  <c r="F15"/>
  <c r="G15" s="1"/>
  <c r="F14"/>
  <c r="G14" s="1"/>
  <c r="I19" i="35"/>
  <c r="F10" i="47"/>
  <c r="E10"/>
  <c r="D10"/>
  <c r="G50" i="11"/>
  <c r="F50"/>
  <c r="H50"/>
  <c r="G49"/>
  <c r="F49"/>
  <c r="E49"/>
  <c r="H49"/>
  <c r="J49" s="1"/>
  <c r="G48"/>
  <c r="F48"/>
  <c r="J48" s="1"/>
  <c r="G47"/>
  <c r="F47"/>
  <c r="G46"/>
  <c r="F46"/>
  <c r="G45"/>
  <c r="F45"/>
  <c r="E45"/>
  <c r="G44"/>
  <c r="F44"/>
  <c r="E44"/>
  <c r="G43"/>
  <c r="F43"/>
  <c r="G42"/>
  <c r="F42"/>
  <c r="G40"/>
  <c r="F40"/>
  <c r="G38"/>
  <c r="F38"/>
  <c r="G37"/>
  <c r="F37"/>
  <c r="J37" s="1"/>
  <c r="G36"/>
  <c r="F36"/>
  <c r="D41"/>
  <c r="G41" s="1"/>
  <c r="C41"/>
  <c r="F41" s="1"/>
  <c r="D35"/>
  <c r="D39" s="1"/>
  <c r="G39" s="1"/>
  <c r="C35"/>
  <c r="C39"/>
  <c r="F39" s="1"/>
  <c r="J13"/>
  <c r="J14"/>
  <c r="J17"/>
  <c r="J19"/>
  <c r="J20"/>
  <c r="J22"/>
  <c r="J23"/>
  <c r="J24"/>
  <c r="J32" s="1"/>
  <c r="J25"/>
  <c r="J26"/>
  <c r="J27"/>
  <c r="J28"/>
  <c r="J29"/>
  <c r="J30"/>
  <c r="J31"/>
  <c r="J12"/>
  <c r="J11"/>
  <c r="H16"/>
  <c r="H15" s="1"/>
  <c r="J16"/>
  <c r="H21"/>
  <c r="H10" s="1"/>
  <c r="H33" s="1"/>
  <c r="E33"/>
  <c r="K36" i="33"/>
  <c r="I36"/>
  <c r="G36"/>
  <c r="D67" i="35"/>
  <c r="C67"/>
  <c r="B67"/>
  <c r="B16" i="47"/>
  <c r="B17" s="1"/>
  <c r="C23"/>
  <c r="C26"/>
  <c r="B32"/>
  <c r="C32"/>
  <c r="D32"/>
  <c r="E32"/>
  <c r="F32"/>
  <c r="C8"/>
  <c r="D5" s="1"/>
  <c r="B9" i="45"/>
  <c r="B20" s="1"/>
  <c r="E14" i="46"/>
  <c r="F11"/>
  <c r="F14"/>
  <c r="G11"/>
  <c r="H11"/>
  <c r="E15"/>
  <c r="F15"/>
  <c r="G15"/>
  <c r="H15"/>
  <c r="E16"/>
  <c r="F16"/>
  <c r="G16"/>
  <c r="H16"/>
  <c r="E17"/>
  <c r="F17"/>
  <c r="G17"/>
  <c r="H17"/>
  <c r="E18"/>
  <c r="F18"/>
  <c r="G18"/>
  <c r="H18"/>
  <c r="E19"/>
  <c r="F19"/>
  <c r="G19"/>
  <c r="H19"/>
  <c r="E20"/>
  <c r="F20"/>
  <c r="G20"/>
  <c r="H20"/>
  <c r="E21"/>
  <c r="F21"/>
  <c r="G21"/>
  <c r="H21"/>
  <c r="E22"/>
  <c r="F22"/>
  <c r="G22"/>
  <c r="H22"/>
  <c r="E23"/>
  <c r="F23"/>
  <c r="G23"/>
  <c r="H23"/>
  <c r="E24"/>
  <c r="F24"/>
  <c r="G24"/>
  <c r="H24"/>
  <c r="E25"/>
  <c r="F25"/>
  <c r="G25"/>
  <c r="H25"/>
  <c r="D26"/>
  <c r="C26"/>
  <c r="B26"/>
  <c r="H17" i="35"/>
  <c r="E17"/>
  <c r="B17"/>
  <c r="B33" i="47"/>
  <c r="J15" i="11"/>
  <c r="J43"/>
  <c r="H44"/>
  <c r="H51" s="1"/>
  <c r="J44"/>
  <c r="H45"/>
  <c r="J45"/>
  <c r="D23" i="47"/>
  <c r="D26"/>
  <c r="C33"/>
  <c r="C34"/>
  <c r="J31" i="33"/>
  <c r="H28"/>
  <c r="L31"/>
  <c r="H16"/>
  <c r="L16"/>
  <c r="B30"/>
  <c r="F25"/>
  <c r="F27"/>
  <c r="F29"/>
  <c r="H25"/>
  <c r="H29"/>
  <c r="J25"/>
  <c r="J27"/>
  <c r="J29"/>
  <c r="L25"/>
  <c r="L29"/>
  <c r="D16"/>
  <c r="F16"/>
  <c r="J16"/>
  <c r="D25"/>
  <c r="D27"/>
  <c r="D24"/>
  <c r="D26"/>
  <c r="D31"/>
  <c r="F26"/>
  <c r="K30"/>
  <c r="L30" s="1"/>
  <c r="D28"/>
  <c r="E23" i="47"/>
  <c r="E26"/>
  <c r="D33"/>
  <c r="D34"/>
  <c r="G14" i="46"/>
  <c r="F26"/>
  <c r="D8" i="47"/>
  <c r="E5" s="1"/>
  <c r="E8" s="1"/>
  <c r="F5" s="1"/>
  <c r="F8" s="1"/>
  <c r="J28" i="33"/>
  <c r="E26" i="46"/>
  <c r="G26"/>
  <c r="H14"/>
  <c r="H26"/>
  <c r="E33" i="47"/>
  <c r="E34"/>
  <c r="F23"/>
  <c r="F26"/>
  <c r="F33"/>
  <c r="F34"/>
  <c r="J17" i="35" l="1"/>
  <c r="I17"/>
  <c r="G17"/>
  <c r="F17"/>
  <c r="D17"/>
  <c r="C17"/>
  <c r="J46" i="11"/>
  <c r="E40"/>
  <c r="J18"/>
  <c r="H40"/>
  <c r="B33"/>
  <c r="B52" s="1"/>
  <c r="L26" i="33"/>
  <c r="J26"/>
  <c r="L28"/>
  <c r="J24"/>
  <c r="H24"/>
  <c r="F24"/>
  <c r="H27"/>
  <c r="F28"/>
  <c r="H31"/>
  <c r="F31"/>
  <c r="H26"/>
  <c r="D29"/>
  <c r="C16" i="47"/>
  <c r="J38" i="11"/>
  <c r="J21"/>
  <c r="J42"/>
  <c r="J41"/>
  <c r="J36"/>
  <c r="J10"/>
  <c r="J33" s="1"/>
  <c r="B22" i="45"/>
  <c r="I48" i="38"/>
  <c r="H48"/>
  <c r="K18"/>
  <c r="K17"/>
  <c r="J40" i="11" l="1"/>
  <c r="E52"/>
  <c r="D16" i="47"/>
  <c r="C17"/>
  <c r="C18" s="1"/>
  <c r="J35" i="11"/>
  <c r="J51" s="1"/>
  <c r="H52"/>
  <c r="K43" i="38"/>
  <c r="K41"/>
  <c r="K35"/>
  <c r="K33"/>
  <c r="K30"/>
  <c r="K28"/>
  <c r="K26"/>
  <c r="K24"/>
  <c r="K19"/>
  <c r="K10"/>
  <c r="K40"/>
  <c r="K36"/>
  <c r="K32"/>
  <c r="K29"/>
  <c r="K27"/>
  <c r="K25"/>
  <c r="K23"/>
  <c r="E16" i="47" l="1"/>
  <c r="D17"/>
  <c r="D18" s="1"/>
  <c r="J39" i="11"/>
  <c r="K22" i="38"/>
  <c r="K31"/>
  <c r="K16"/>
  <c r="K15"/>
  <c r="K34"/>
  <c r="K42"/>
  <c r="K11"/>
  <c r="K39"/>
  <c r="K14"/>
  <c r="K38"/>
  <c r="E17" i="47" l="1"/>
  <c r="E18" s="1"/>
  <c r="F16"/>
  <c r="F17" s="1"/>
  <c r="K44" i="38"/>
  <c r="K21"/>
  <c r="F18" i="47" l="1"/>
</calcChain>
</file>

<file path=xl/comments1.xml><?xml version="1.0" encoding="utf-8"?>
<comments xmlns="http://schemas.openxmlformats.org/spreadsheetml/2006/main">
  <authors>
    <author>contabil1</author>
  </authors>
  <commentList>
    <comment ref="E35" authorId="0">
      <text>
        <r>
          <rPr>
            <b/>
            <sz val="8"/>
            <color indexed="81"/>
            <rFont val="Tahoma"/>
            <family val="2"/>
          </rPr>
          <t>contabil1:</t>
        </r>
        <r>
          <rPr>
            <sz val="8"/>
            <color indexed="81"/>
            <rFont val="Tahoma"/>
            <family val="2"/>
          </rPr>
          <t xml:space="preserve">
</t>
        </r>
      </text>
    </comment>
  </commentList>
</comments>
</file>

<file path=xl/comments2.xml><?xml version="1.0" encoding="utf-8"?>
<comments xmlns="http://schemas.openxmlformats.org/spreadsheetml/2006/main">
  <authors>
    <author>contabil1</author>
  </authors>
  <commentList>
    <comment ref="C40" authorId="0">
      <text>
        <r>
          <rPr>
            <b/>
            <sz val="8"/>
            <color indexed="81"/>
            <rFont val="Tahoma"/>
            <family val="2"/>
          </rPr>
          <t>contabil1:</t>
        </r>
        <r>
          <rPr>
            <sz val="8"/>
            <color indexed="81"/>
            <rFont val="Tahoma"/>
            <family val="2"/>
          </rPr>
          <t xml:space="preserve">
</t>
        </r>
      </text>
    </comment>
  </commentList>
</comments>
</file>

<file path=xl/comments3.xml><?xml version="1.0" encoding="utf-8"?>
<comments xmlns="http://schemas.openxmlformats.org/spreadsheetml/2006/main">
  <authors>
    <author>Pref Mun de Boa Vista do Cadeado</author>
  </authors>
  <commentList>
    <comment ref="B39" authorId="0">
      <text>
        <r>
          <rPr>
            <b/>
            <sz val="8"/>
            <color indexed="81"/>
            <rFont val="Tahoma"/>
            <family val="2"/>
          </rPr>
          <t>Pref Mun de Boa Vista do Cadeado:</t>
        </r>
        <r>
          <rPr>
            <sz val="8"/>
            <color indexed="81"/>
            <rFont val="Tahoma"/>
            <family val="2"/>
          </rPr>
          <t xml:space="preserve">
</t>
        </r>
      </text>
    </comment>
    <comment ref="B40" authorId="0">
      <text>
        <r>
          <rPr>
            <b/>
            <sz val="8"/>
            <color indexed="81"/>
            <rFont val="Tahoma"/>
            <family val="2"/>
          </rPr>
          <t>Pref Mun de Boa Vista do Cadeado:</t>
        </r>
        <r>
          <rPr>
            <sz val="8"/>
            <color indexed="81"/>
            <rFont val="Tahoma"/>
            <family val="2"/>
          </rPr>
          <t xml:space="preserve">
</t>
        </r>
      </text>
    </comment>
    <comment ref="B42" authorId="0">
      <text>
        <r>
          <rPr>
            <b/>
            <sz val="8"/>
            <color indexed="81"/>
            <rFont val="Tahoma"/>
            <family val="2"/>
          </rPr>
          <t>Pref Mun de Boa Vista do Cadea</t>
        </r>
      </text>
    </comment>
  </commentList>
</comments>
</file>

<file path=xl/sharedStrings.xml><?xml version="1.0" encoding="utf-8"?>
<sst xmlns="http://schemas.openxmlformats.org/spreadsheetml/2006/main" count="834" uniqueCount="638">
  <si>
    <t>Resultado Primário (III) = (I - II)</t>
  </si>
  <si>
    <t>Metas Previstas em &lt;Ano-2&gt;</t>
  </si>
  <si>
    <t>Metas Realizadas em &lt;Ano-2&gt;</t>
  </si>
  <si>
    <t>Variação</t>
  </si>
  <si>
    <t>(c) = (b-a)</t>
  </si>
  <si>
    <t>(c/a) x 100</t>
  </si>
  <si>
    <t xml:space="preserve">TOTAL </t>
  </si>
  <si>
    <t>SALDO FINANCEIRO</t>
  </si>
  <si>
    <t xml:space="preserve">RESULTADO PRIMÁRIO (XIX) = (VII - XVIII) </t>
  </si>
  <si>
    <t>EXERCÍCIO</t>
  </si>
  <si>
    <t xml:space="preserve">        Amortização da Dívida</t>
  </si>
  <si>
    <t xml:space="preserve">    Inversões Financeiras</t>
  </si>
  <si>
    <t>Resultado Nominal</t>
  </si>
  <si>
    <t>I - RECEITAS CORRENTES</t>
  </si>
  <si>
    <t>Contribuições dos Servidores Ativos/Inativos/Pensionistas</t>
  </si>
  <si>
    <t>Receitas do Fundo de Assistência Social dos Servidores</t>
  </si>
  <si>
    <t>Receitas do Fundo de Assistência à Saúde dos Servidores</t>
  </si>
  <si>
    <t>II –DEDUÇÕES</t>
  </si>
  <si>
    <t>Outras Contribuições Sociais</t>
  </si>
  <si>
    <t>Anexo II</t>
  </si>
  <si>
    <t>Total</t>
  </si>
  <si>
    <t xml:space="preserve">                                     Anexo I</t>
  </si>
  <si>
    <t>(LRF, art. 4º, § 1)</t>
  </si>
  <si>
    <t>Anexo IV</t>
  </si>
  <si>
    <t>(b) Metodologia de Cálculo</t>
  </si>
  <si>
    <t>(a) Metas de Resultado Nominal, Primário e Dívida Pública</t>
  </si>
  <si>
    <t>Resultado Primário (III) = (I – II)</t>
  </si>
  <si>
    <t xml:space="preserve">Dívida Consolidada Líquida </t>
  </si>
  <si>
    <t xml:space="preserve"> (LRF, art. 4º, §2º, inciso I)</t>
  </si>
  <si>
    <t>(LRF, art.4º, §2º, inciso II)</t>
  </si>
  <si>
    <t>(LRF, art.4º, §2º, inciso III)</t>
  </si>
  <si>
    <t>LEIDE DIRETRIZES ORÇAMENTÁRIAS</t>
  </si>
  <si>
    <t>LEI DE DIRETRIZES ORÇMENTÁRIAS</t>
  </si>
  <si>
    <t>(LRF, art.4º, §2º, inciso IV, alínea a)</t>
  </si>
  <si>
    <t>(g) Avaliação da situação financeira e atuarial do regime próprio de previdência dos servidores públicos</t>
  </si>
  <si>
    <t>(c) = (a-b)</t>
  </si>
  <si>
    <t xml:space="preserve">        Receita Patrimonial</t>
  </si>
  <si>
    <t xml:space="preserve">        (-) Aplicações Financeiras</t>
  </si>
  <si>
    <t xml:space="preserve">        Dívida Ativa</t>
  </si>
  <si>
    <t xml:space="preserve">        Diversas Receitas Correntes</t>
  </si>
  <si>
    <t xml:space="preserve">        Convênios</t>
  </si>
  <si>
    <t xml:space="preserve">        Outras Transferências de Capital</t>
  </si>
  <si>
    <t xml:space="preserve">    Receita Patrimonial Líquida</t>
  </si>
  <si>
    <t xml:space="preserve">    Demais Receitas Correntes</t>
  </si>
  <si>
    <t xml:space="preserve">    Operações de Crédito (III)</t>
  </si>
  <si>
    <t xml:space="preserve">    Amortização de Empréstimos (IV)</t>
  </si>
  <si>
    <t xml:space="preserve">    Transferências de Capital</t>
  </si>
  <si>
    <t xml:space="preserve">    Juros e Encargos da Dívida (IX)</t>
  </si>
  <si>
    <t xml:space="preserve">        Concessão de Empréstimos (XII)</t>
  </si>
  <si>
    <t xml:space="preserve">        Aquisição de Título de Capital já Integralizado (XIII)</t>
  </si>
  <si>
    <t xml:space="preserve">        Demais Inversões Financeiras</t>
  </si>
  <si>
    <t xml:space="preserve">    Investimentos</t>
  </si>
  <si>
    <t xml:space="preserve">    Amortização da Dívida (XIV)</t>
  </si>
  <si>
    <t>RESERVA DO RPPS (XVII)</t>
  </si>
  <si>
    <t xml:space="preserve">    Alienação de Bens  (V)</t>
  </si>
  <si>
    <t xml:space="preserve">    Receitas de Contribuições</t>
  </si>
  <si>
    <t>RECEITAS REALIZADAS</t>
  </si>
  <si>
    <t>%</t>
  </si>
  <si>
    <t>(a)</t>
  </si>
  <si>
    <t>(b)</t>
  </si>
  <si>
    <t>(c)</t>
  </si>
  <si>
    <t>RECEITAS PRIMÁRIAS</t>
  </si>
  <si>
    <t xml:space="preserve">    Receitas Tributárias</t>
  </si>
  <si>
    <t xml:space="preserve">        Receitas Previdenciárias</t>
  </si>
  <si>
    <t xml:space="preserve">        Outras Receitas de Contribuições</t>
  </si>
  <si>
    <t>RECEITA PRIMÁRIA TOTAL  (VII) = (I + VI)</t>
  </si>
  <si>
    <t>DESPESAS PRIMÁRIAS</t>
  </si>
  <si>
    <t>DESPESAS PRIMÁRIAS CORRENTES (X) = (VIII - IX)</t>
  </si>
  <si>
    <t>DESPESAS PRIMÁRIAS DE CAPITAL (XV) = (XI - XII - XIII - XIV)</t>
  </si>
  <si>
    <t>DESPESA PRIMÁRIA TOTAL (XVIII) = (X + XV + XVI + XVII)</t>
  </si>
  <si>
    <t xml:space="preserve">        Alienação de Bens Móveis</t>
  </si>
  <si>
    <t xml:space="preserve">        Alienação de Bens Imóveis</t>
  </si>
  <si>
    <t>(e)</t>
  </si>
  <si>
    <t>FONTE:</t>
  </si>
  <si>
    <t>RECEITAS PRIMÁRIAS CORRENTES (I)</t>
  </si>
  <si>
    <t>RECEITAS PRIMÁRIAS DE CAPITAL (VI) = (II - III - IV - V)</t>
  </si>
  <si>
    <t>TOTAL</t>
  </si>
  <si>
    <t>DEMONSTRATIVO DA RECEITA CORRENTE LÍQUIDA</t>
  </si>
  <si>
    <t>ESPECIFICAÇÃO</t>
  </si>
  <si>
    <t xml:space="preserve">    Transferências Correntes</t>
  </si>
  <si>
    <t xml:space="preserve">        Outras Transferências Correntes</t>
  </si>
  <si>
    <t>LEI DE DIRETRIZES ORÇAMENTÁRIAS</t>
  </si>
  <si>
    <t>ANEXO DE  METAS FISCAIS</t>
  </si>
  <si>
    <t>Valor</t>
  </si>
  <si>
    <t>% PIB</t>
  </si>
  <si>
    <t>Corrente</t>
  </si>
  <si>
    <t>Constante</t>
  </si>
  <si>
    <t>(a / PIB)</t>
  </si>
  <si>
    <t>(b / PIB)</t>
  </si>
  <si>
    <t>(c / PIB)</t>
  </si>
  <si>
    <t>x 100</t>
  </si>
  <si>
    <t>Despesas Primárias (II)</t>
  </si>
  <si>
    <t>Resultado Primário (III) = (I–II)</t>
  </si>
  <si>
    <t xml:space="preserve">        Regimes Próprios dos Servidores Públicos  </t>
  </si>
  <si>
    <t xml:space="preserve">   Novas DOCC geradas por PPP</t>
  </si>
  <si>
    <t>Margem Líquida de Expansão de DOCC (V) = (III-IV)</t>
  </si>
  <si>
    <t>Receita Total</t>
  </si>
  <si>
    <t>Receitas Primárias (I)</t>
  </si>
  <si>
    <t>Despesa Total</t>
  </si>
  <si>
    <t xml:space="preserve">Dívida Pública Consolidada </t>
  </si>
  <si>
    <t>Dívida Consolidada Líquida</t>
  </si>
  <si>
    <t>VALORES A PREÇOS CORRENTES</t>
  </si>
  <si>
    <t>Dívida Pública Consolidada</t>
  </si>
  <si>
    <t>VALORES A PREÇOS CONSTANTES</t>
  </si>
  <si>
    <t>PATRIMÔNIO LÍQUIDO</t>
  </si>
  <si>
    <t>Patrimônio/Capital</t>
  </si>
  <si>
    <t>Reservas</t>
  </si>
  <si>
    <t>Resultado Acumulado</t>
  </si>
  <si>
    <t xml:space="preserve">   DESPESAS DE CAPITAL</t>
  </si>
  <si>
    <t xml:space="preserve">         Investimentos</t>
  </si>
  <si>
    <t xml:space="preserve">         Inversões Financeiras</t>
  </si>
  <si>
    <t xml:space="preserve">    DESPESAS CORRENTES DOS REGIMES DE PREVID.</t>
  </si>
  <si>
    <t xml:space="preserve">        Regime Geral de Previdência Social</t>
  </si>
  <si>
    <t>RECEITAS E DESPESAS PREVIDENCIÁRIAS DO RPPS</t>
  </si>
  <si>
    <t>PROJEÇÃO ATUARIAL DO RPPS</t>
  </si>
  <si>
    <t>RENÚNCIA DE RECEITA PREVISTA</t>
  </si>
  <si>
    <t>COMPENSAÇÃO</t>
  </si>
  <si>
    <t xml:space="preserve">          -</t>
  </si>
  <si>
    <t>EVENTO</t>
  </si>
  <si>
    <t xml:space="preserve">Aumento Permanente da Receita  </t>
  </si>
  <si>
    <t>(-)  Aumento referente a transferências constitucionais</t>
  </si>
  <si>
    <t>Saldo Final do Aumento Permanente de Receita  (I)</t>
  </si>
  <si>
    <t>Redução Permanente de Despesa (II)</t>
  </si>
  <si>
    <t>Margem Bruta  (III) = (I+II)</t>
  </si>
  <si>
    <t>Saldo Utilizado da Margem Bruta (IV)</t>
  </si>
  <si>
    <t xml:space="preserve">   Novas DOCC</t>
  </si>
  <si>
    <t>RECEITAS PREVIDENCIÁRIAS</t>
  </si>
  <si>
    <t xml:space="preserve">    Outras Receitas de Capital</t>
  </si>
  <si>
    <t xml:space="preserve">    Pessoal e Encargos Sociais</t>
  </si>
  <si>
    <t xml:space="preserve">    Outras Despesas Correntes</t>
  </si>
  <si>
    <t>RECEITAS DE CAPITAL (II)</t>
  </si>
  <si>
    <t>DESPESAS CORRENTES (VIII)</t>
  </si>
  <si>
    <t>DESPESAS DE CAPITAL (XI)</t>
  </si>
  <si>
    <t>RESERVA DE CONTINGÊNCIA (XVI)</t>
  </si>
  <si>
    <t xml:space="preserve">SALDO FINANCEIRO </t>
  </si>
  <si>
    <t>DO EXERCÍCIO</t>
  </si>
  <si>
    <t>ANEXO DE METAS FISCAIS</t>
  </si>
  <si>
    <t>(LRF, art. 4°, § 2°, inciso V)</t>
  </si>
  <si>
    <t>ANEXO DE RISCOS FISCAIS</t>
  </si>
  <si>
    <t>DEMONSTRATIVO DE RISCOS FISCAIS E PROVIDÊNCIAS</t>
  </si>
  <si>
    <t>RISCOS FISCAIS</t>
  </si>
  <si>
    <t>PROVIDÊNCIAS</t>
  </si>
  <si>
    <t>Descrição</t>
  </si>
  <si>
    <t>Anexo V</t>
  </si>
  <si>
    <t>(LRF, art 4º, § 3º)</t>
  </si>
  <si>
    <t>Previsão para conclusão</t>
  </si>
  <si>
    <t>Anexo VI</t>
  </si>
  <si>
    <t>Cargos</t>
  </si>
  <si>
    <t>Legislação</t>
  </si>
  <si>
    <t>Padrão de Remuneração</t>
  </si>
  <si>
    <t>De provimento efetivo</t>
  </si>
  <si>
    <t>Planejamento da Despesa com Pessoal</t>
  </si>
  <si>
    <t>Exec/Ind.</t>
  </si>
  <si>
    <t>RPPS</t>
  </si>
  <si>
    <t>Variação Passiva</t>
  </si>
  <si>
    <t>(-) amortização</t>
  </si>
  <si>
    <t>DÍVIDA CONSOLIDADA DO RPPS INCLUSIVE AS PROVISÕES MATEMÁTICAS PREVIDENCIÁRIAS</t>
  </si>
  <si>
    <t>Valor R$ 1,00</t>
  </si>
  <si>
    <t>(-)  Aumento referente a transferências do FUNDEB</t>
  </si>
  <si>
    <t>Compensações Financeiras entre o RGPS e o RPPS</t>
  </si>
  <si>
    <t>Receitas do RPPS – Aplicações em Títulos, Rem. e Outras Receitas</t>
  </si>
  <si>
    <t>RECEITA PATRIMONIAL</t>
  </si>
  <si>
    <t>RECEITA DE SERVIÇOS</t>
  </si>
  <si>
    <t>OUTRAS RECEITAS CORRENTES</t>
  </si>
  <si>
    <t>(Art. 12 da LC nº 101/2.000 e art.  22, III, "a", "b" e "c" da Lei 4.320/64 )</t>
  </si>
  <si>
    <t>Demonstrativo dos Projetos em Andamento e Informações sobre o Patrimônio Público</t>
  </si>
  <si>
    <t>Notas: A dívida pública é sem duplicidade, logo, dívidas entre órgãos e fundos não são consideradas.</t>
  </si>
  <si>
    <t>LC nº 101, art. 12 e Manual das Receitas STN 4ª edição</t>
  </si>
  <si>
    <t>Cód. da Receita:</t>
  </si>
  <si>
    <t>Preço:.....................................................................................................................................</t>
  </si>
  <si>
    <t>Quantidade:...........................................................................................................................</t>
  </si>
  <si>
    <t>Legislação:............................................................................................................................</t>
  </si>
  <si>
    <t>Total Crescimento:.................................................................................................................</t>
  </si>
  <si>
    <t>Mês</t>
  </si>
  <si>
    <t>janeiro</t>
  </si>
  <si>
    <t>fevereiro</t>
  </si>
  <si>
    <t>março</t>
  </si>
  <si>
    <t>abril</t>
  </si>
  <si>
    <t>maio</t>
  </si>
  <si>
    <t>junho</t>
  </si>
  <si>
    <t>julho</t>
  </si>
  <si>
    <t>agosto</t>
  </si>
  <si>
    <t>setembro</t>
  </si>
  <si>
    <t>outubro</t>
  </si>
  <si>
    <t>novembro</t>
  </si>
  <si>
    <t>dezembro</t>
  </si>
  <si>
    <t xml:space="preserve">Notas: </t>
  </si>
  <si>
    <t>d) índice de Legislação significa o percentual de aumento de alíquota em relação ao ano anterior. Caso não haja coloque 1,00.</t>
  </si>
  <si>
    <t xml:space="preserve">    devem figurar no orçamento por estas estimativas, desprezando-se esta metodologia de previsão conforme os índices, porém igualmente devem ser</t>
  </si>
  <si>
    <t>Anexo I</t>
  </si>
  <si>
    <t xml:space="preserve">c) índice de quantidade corresponde ao % de crescimento real da receita. Ex: ICMS aumentará 10% em relação ano anterior (Caso não haja coloque 1,00) </t>
  </si>
  <si>
    <t xml:space="preserve">    justificadas a sua previsão e possuir periodicidade mensal.</t>
  </si>
  <si>
    <t>a) Previsão da Receita</t>
  </si>
  <si>
    <t>b) METODOLOGIA DE CÁLCULO DA RECEITA</t>
  </si>
  <si>
    <t xml:space="preserve">com o mesmo código da conta substituindo-se o dígito "4" pelo "9" e, assim, neste demonstrativo, </t>
  </si>
  <si>
    <t>figura nas "outras deduções".</t>
  </si>
  <si>
    <t>Notas:</t>
  </si>
  <si>
    <t xml:space="preserve">a) As deduções com o Fundeb, já que são contas redutoras da receita, devem ser contabilizadas </t>
  </si>
  <si>
    <t>b) Os estornos de restos a pagar não são considerados no orçamento.</t>
  </si>
  <si>
    <t>f) Esta metodologia deve ser adotada para as principais receitas e grupos de receitas com características semelhantes (origem).</t>
  </si>
  <si>
    <t>Totais</t>
  </si>
  <si>
    <t>Criação - Nº cargos</t>
  </si>
  <si>
    <t>Ocupação - Nº cargos</t>
  </si>
  <si>
    <t>Aumento em R$ ref criação e ocupação</t>
  </si>
  <si>
    <t>Aumentos reais previstos</t>
  </si>
  <si>
    <t>Total ref. Aumento de despesa com pessoal</t>
  </si>
  <si>
    <t>TRIBUTO</t>
  </si>
  <si>
    <t>MODALIDADE</t>
  </si>
  <si>
    <t>SETORES/ PROGRAMAS/ BENEFICIÁRIO</t>
  </si>
  <si>
    <t xml:space="preserve"> (LRF, art. 4°, § 2°, inciso V)</t>
  </si>
  <si>
    <t>Cargos Existentes</t>
  </si>
  <si>
    <t>Cargos Ocupados</t>
  </si>
  <si>
    <t>Cargos Vagos</t>
  </si>
  <si>
    <t>Dívida Consolidada</t>
  </si>
  <si>
    <t>saldo final dívida consolidada</t>
  </si>
  <si>
    <t xml:space="preserve"> - Passivo Financeiro</t>
  </si>
  <si>
    <t xml:space="preserve"> + Disponibilidades</t>
  </si>
  <si>
    <t xml:space="preserve"> = Situação Financeira</t>
  </si>
  <si>
    <t xml:space="preserve"> = Dívida Líquida</t>
  </si>
  <si>
    <t>Receitas totais ano</t>
  </si>
  <si>
    <t>Despesas totais ano (sem reserva)</t>
  </si>
  <si>
    <t xml:space="preserve">   (utilização do superávit)</t>
  </si>
  <si>
    <t xml:space="preserve">   a) Despesas orçamentárias sem reserva cont.</t>
  </si>
  <si>
    <t>b) Créditos adicionais por superávit</t>
  </si>
  <si>
    <t>c) Pgto de restos a pagar c/ insuficiência fin.</t>
  </si>
  <si>
    <t>(-) Passivo Financeiro</t>
  </si>
  <si>
    <t>(+) Disponibilidades</t>
  </si>
  <si>
    <t>Gastos totais ano</t>
  </si>
  <si>
    <t>a) em 2009 foi feita a estimativa segundo os últimos 3 exercícios. Entretanto, havendo previsão de valores mais confiáveis deve-se adotar esta previsão.</t>
  </si>
  <si>
    <t>b) índice de preço corresponde à inflação projetada para o exercício. A base para 2010/2012 é de 4,5% ao ano (projetado pela União na sua LDO).</t>
  </si>
  <si>
    <t xml:space="preserve">e) as receitas que possuam estimativas confiáveis para 2010/2012 (IPTU pode ser um exemplo, dependendo dos controles do município) </t>
  </si>
  <si>
    <t>IRRF sobre Rendimento do Trabalho*</t>
  </si>
  <si>
    <t>Cancelamento de restos a pagar (quando lançado ainda como receita)</t>
  </si>
  <si>
    <t>Deduções de receitas de Fundeb (característica peculiar 105)</t>
  </si>
  <si>
    <t>III-Subtotal</t>
  </si>
  <si>
    <t>IV- (+)Perda para o Fundeb</t>
  </si>
  <si>
    <t>V - RECEITA CORRENTE LÍQUIDA (I-II+III)</t>
  </si>
  <si>
    <t>c) Demonstrativo como base a IN 35/2008 atualizada pela IN 03/2009 TCERS</t>
  </si>
  <si>
    <t>Outras Deduções de Receitas (CP 101, 102, 103, 104, 106, 108 E 109 )</t>
  </si>
  <si>
    <t>Cálculo Valor Constante</t>
  </si>
  <si>
    <t>Inflação Projetada</t>
  </si>
  <si>
    <t>OBS: No quadro acima foi considerado os valores constantes do manual da STN</t>
  </si>
  <si>
    <t xml:space="preserve">apenas para conferência. Considerar os valores de inflação da LDO da </t>
  </si>
  <si>
    <t>União que fora de 4,5 ao ano e, os valores correntes apurados na LDO</t>
  </si>
  <si>
    <t xml:space="preserve">do Município. Este "rascunho" não precisa aparecer no demonstrativo, é apenas didático e </t>
  </si>
  <si>
    <t>com a finalidade de facilitar o cálculo.</t>
  </si>
  <si>
    <t>Variação Passiva (juros e encargos)</t>
  </si>
  <si>
    <t>Anexo III - Anexo de Metas Fiscais</t>
  </si>
  <si>
    <t>(d) Avaliação do cumprimento das metas fiscais do exercício anterior</t>
  </si>
  <si>
    <t>Anexo III</t>
  </si>
  <si>
    <t>(c ) MEMÓRIA DE CÁLCULO RESULTADO NOMINAL</t>
  </si>
  <si>
    <t>Dívida Consolidada*</t>
  </si>
  <si>
    <t>Multiplicar o valor corrente por....................</t>
  </si>
  <si>
    <t>Dividir o valor corrente por............................</t>
  </si>
  <si>
    <t>Inflação (IPCA)</t>
  </si>
  <si>
    <t>P. 36 do MTDF - Manual de Gestão Fiscal, comentários ao Demonstrativo da Dívida Consolidada Líquida</t>
  </si>
  <si>
    <t>(f) Evolução do Patrimônio Líquido</t>
  </si>
  <si>
    <t>(e) Metas fiscais atuais comparadas com as fixadas nos três exercícios anteriores</t>
  </si>
  <si>
    <t xml:space="preserve">Anexo III </t>
  </si>
  <si>
    <t>(g) Origem e aplicação dos recursos obtidos com a alienação de ativos</t>
  </si>
  <si>
    <t>( c)</t>
  </si>
  <si>
    <t>(d)</t>
  </si>
  <si>
    <t>(f)</t>
  </si>
  <si>
    <t>(g) = ((Ia – IId) + IIIh)</t>
  </si>
  <si>
    <t>(h) = ((Ib – IIe) + IIIi)</t>
  </si>
  <si>
    <t>(i) = (Ic – IIf)</t>
  </si>
  <si>
    <t>RECEITAS DE CAPITAL – ALIENAÇÃO DE ATIVOS (I)</t>
  </si>
  <si>
    <t>DESPESAS EXECUTADAS</t>
  </si>
  <si>
    <t>APLICAÇÃO DOS RECURSOS DA ALIENAÇÃO DE ATIVOS (II)</t>
  </si>
  <si>
    <t>Valor (III)</t>
  </si>
  <si>
    <t>RECEITAS PREVIDENCIÁRIAS - RPPS (EXCETO INTRA-ORÇAMENTÁRIAS) (I)</t>
  </si>
  <si>
    <t xml:space="preserve">   RECEITAS CORRENTES</t>
  </si>
  <si>
    <t xml:space="preserve">      Receita de Contribuições dos Segurados</t>
  </si>
  <si>
    <t xml:space="preserve">         Pessoal Civil</t>
  </si>
  <si>
    <t xml:space="preserve">         Pessoal Militar</t>
  </si>
  <si>
    <t xml:space="preserve">      Outras Receitas de Contribuições</t>
  </si>
  <si>
    <t xml:space="preserve">      Receita Patrimonial</t>
  </si>
  <si>
    <t xml:space="preserve">      Receita de Serviços </t>
  </si>
  <si>
    <t xml:space="preserve">      Outras Receitas Correntes</t>
  </si>
  <si>
    <t xml:space="preserve">         Compensação Previdenciária do RGPS para o RPPS</t>
  </si>
  <si>
    <t xml:space="preserve">         Outras Receitas Correntes</t>
  </si>
  <si>
    <t xml:space="preserve">   RECEITAS DE CAPITAL</t>
  </si>
  <si>
    <t xml:space="preserve">      Alienação de Bens, Direitos e Ativos</t>
  </si>
  <si>
    <t xml:space="preserve">      Amortização de Empréstimos</t>
  </si>
  <si>
    <t xml:space="preserve">      Outras Receitas de Capital</t>
  </si>
  <si>
    <t xml:space="preserve">   (–) DEDUÇÕES DA RECEITA</t>
  </si>
  <si>
    <t>RECEITAS PREVIDENCIÁRIAS - RPPS (INTRA-ORÇAMENTÁRIAS) (II)</t>
  </si>
  <si>
    <t xml:space="preserve">      Receita de Contribuições</t>
  </si>
  <si>
    <t xml:space="preserve">         Patronal</t>
  </si>
  <si>
    <t xml:space="preserve">            Pessoal Civil</t>
  </si>
  <si>
    <t xml:space="preserve">            Pessoal Militar</t>
  </si>
  <si>
    <t xml:space="preserve">         Cobertura de Déficit Atuarial</t>
  </si>
  <si>
    <t xml:space="preserve">         Regime de Débitos e Parcelamentos</t>
  </si>
  <si>
    <t>TOTAL DAS RECEITAS PREVIDENCIÁRIAS (III) = (I + II)</t>
  </si>
  <si>
    <t>DESPESAS PREVIDENCIÁRIAS - RPPS (EXCETO INTRA-ORÇAMENTÁRIAS) (IV)</t>
  </si>
  <si>
    <t xml:space="preserve">   ADMINISTRAÇÃO</t>
  </si>
  <si>
    <t xml:space="preserve">      Despesas Correntes</t>
  </si>
  <si>
    <t xml:space="preserve">      Despesas de Capital</t>
  </si>
  <si>
    <t xml:space="preserve">   PREVIDÊNCIA</t>
  </si>
  <si>
    <t xml:space="preserve">      Pessoal Civil</t>
  </si>
  <si>
    <t xml:space="preserve">      Pessoal Militar   </t>
  </si>
  <si>
    <t xml:space="preserve">      Outras Despesas Previdenciárias</t>
  </si>
  <si>
    <t xml:space="preserve">         Compensação Previdenciária do RPPS para o RGPS</t>
  </si>
  <si>
    <t xml:space="preserve">         Demais Despesas Previdenciárias</t>
  </si>
  <si>
    <t>DESPESAS PREVIDENCIÁRIAS - RPPS (INTRA-ORÇAMENTÁRIAS) (V)</t>
  </si>
  <si>
    <t>TOTAL DAS DESPESAS PREVIDENCIÁRIAS (VI) = (IV + V)</t>
  </si>
  <si>
    <t>RESULTADO PREVIDENCIÁRIO (VII) = (III – VI)</t>
  </si>
  <si>
    <t>APORTES DE RECURSOS PARA O REGIME PRÓPRIO 
DE PREVIDÊNCIA DO SERVIDOR</t>
  </si>
  <si>
    <t>TOTAL DOS APORTES PARA O RPPS</t>
  </si>
  <si>
    <t xml:space="preserve">    Plano Financeiro</t>
  </si>
  <si>
    <t xml:space="preserve">        Recursos para Cobertura de Insuficiências Financeiras</t>
  </si>
  <si>
    <t xml:space="preserve">        Recursos para Formação de Reserva</t>
  </si>
  <si>
    <t xml:space="preserve">        Outros Aportes para o RPPS</t>
  </si>
  <si>
    <t xml:space="preserve">    Plano Previdenciário</t>
  </si>
  <si>
    <t xml:space="preserve">        Recursos para Cobertura de Déficit Financeiro</t>
  </si>
  <si>
    <t xml:space="preserve">        Recursos para Cobertura de Déficit Atuarial</t>
  </si>
  <si>
    <t>RESERVA ORÇAMENTÁRIA DO RPPS</t>
  </si>
  <si>
    <t>BENS E DIREITOS DO RPPS</t>
  </si>
  <si>
    <t>RECEITAS</t>
  </si>
  <si>
    <t>DESPESAS</t>
  </si>
  <si>
    <t>RESULTADO</t>
  </si>
  <si>
    <t>PREVIDENCIÁRIAS</t>
  </si>
  <si>
    <t>PREVIDENCIÁRIO</t>
  </si>
  <si>
    <t xml:space="preserve">(d) = (d Exercício anterior) + (c) </t>
  </si>
  <si>
    <t>Nota: Projeção atuarial elaborada em &lt;DATA DA AVALIAÇÃO&gt;</t>
  </si>
  <si>
    <t xml:space="preserve"> (LRF, art.4º, § 2º, inciso IV, alínea “a”)</t>
  </si>
  <si>
    <t>...</t>
  </si>
  <si>
    <t>Gratificações</t>
  </si>
  <si>
    <t>Quadro para cálculo do valor constante - 
fórmula já pronta- prencha apenas Inflação e Valor Corrente</t>
  </si>
  <si>
    <t>Valor corrente</t>
  </si>
  <si>
    <t>Valor Constante calculado</t>
  </si>
  <si>
    <t>INFLAÇÃO LINEAR ANO DE</t>
  </si>
  <si>
    <t>DESCRIÇÃO</t>
  </si>
  <si>
    <t xml:space="preserve">             RECEITA REALIZADA</t>
  </si>
  <si>
    <t>PROJEÇÃO</t>
  </si>
  <si>
    <t>ANO 2009</t>
  </si>
  <si>
    <t>ANO 2010</t>
  </si>
  <si>
    <t>ANO 2011</t>
  </si>
  <si>
    <t>ANO 2012</t>
  </si>
  <si>
    <t>RECEITA TRIBUÁRIA</t>
  </si>
  <si>
    <t>IMPOSTOS</t>
  </si>
  <si>
    <t>TAXAS</t>
  </si>
  <si>
    <t>CONTRIBUIÇÃO DE MELHORIA</t>
  </si>
  <si>
    <t>RECEITA DE VALORES IMOBILIARIOS</t>
  </si>
  <si>
    <t>SERVIÇOS DE COMUNICAÇÃO</t>
  </si>
  <si>
    <t>SERVIÇOS DE ADMINISTRATIVOS</t>
  </si>
  <si>
    <t>SERVIÇOS DE CAPT. E DISTR DE ÁGUA</t>
  </si>
  <si>
    <t>OUTROS SERVIÇOS</t>
  </si>
  <si>
    <t>TRANSFERENCIAS CORRENTES</t>
  </si>
  <si>
    <t>TRASFERENCIAS DA UNIÃO</t>
  </si>
  <si>
    <t>COTA-PARTE DO FPM</t>
  </si>
  <si>
    <t>COTA-PARTE DO ITR</t>
  </si>
  <si>
    <t>OUTRAS TRANS DA UNIÃO</t>
  </si>
  <si>
    <t>TRANSF. COM EXPL REC. NAT</t>
  </si>
  <si>
    <t>TRANSF. ICMS/LEI KANDIR</t>
  </si>
  <si>
    <t>TRANSF. REC. DO SUS</t>
  </si>
  <si>
    <t>TRANSF. DO FNAS</t>
  </si>
  <si>
    <t>TRASNF. FNDE</t>
  </si>
  <si>
    <t>TRASFERENCIAS DOS ESTADOS</t>
  </si>
  <si>
    <t>COTA-PARTE DO ICMS</t>
  </si>
  <si>
    <t>COTA-PARTE DO IPVA</t>
  </si>
  <si>
    <t>COTA-PARTE DO IPI EXPORTAÇÃO</t>
  </si>
  <si>
    <t>TRANSF. DA CIDE</t>
  </si>
  <si>
    <t>TRANSF. ESTADO P/PROG SAÚDE</t>
  </si>
  <si>
    <t>OUTRAS TRANSF. DO ESTADO</t>
  </si>
  <si>
    <t>TRASNF. MULTIGOVERNAMENTAIS</t>
  </si>
  <si>
    <t>TRANSF.FUNDEF/FUNDEB</t>
  </si>
  <si>
    <t>TRASNF. DE CONVÊNIOS</t>
  </si>
  <si>
    <t>RECEITA DE CAPITAL</t>
  </si>
  <si>
    <t xml:space="preserve">(-) </t>
  </si>
  <si>
    <t>TOTAL DAS RECEITAS</t>
  </si>
  <si>
    <t>METOLOGIA DE CÁLCULO:</t>
  </si>
  <si>
    <t xml:space="preserve">b) Metodologia de Cálculo               </t>
  </si>
  <si>
    <t>d) índice de Legislação significa o percentual de aumento de alíquota em relação ao ano anterior.</t>
  </si>
  <si>
    <t>foram considerados a taxa de crescimento de 4,5% a.a.</t>
  </si>
  <si>
    <t>João Paulo Beltrão dos Santos</t>
  </si>
  <si>
    <t xml:space="preserve">Prefeito Municipal </t>
  </si>
  <si>
    <t>Mauricio da Rosa</t>
  </si>
  <si>
    <t>Contador</t>
  </si>
  <si>
    <t>Sec. Admin. Planej e Fazenda</t>
  </si>
  <si>
    <r>
      <t>Fonte:</t>
    </r>
    <r>
      <rPr>
        <sz val="10"/>
        <color indexed="8"/>
        <rFont val="Times New Roman"/>
        <family val="1"/>
      </rPr>
      <t> Secretaria de Planejamento e Gestão do Estado do Rio Grande do Sul</t>
    </r>
  </si>
  <si>
    <t xml:space="preserve">             Fundação de Economia e Estatística do Rio Grande do Sul - FEE</t>
  </si>
  <si>
    <t>NÃO UTILIZADO</t>
  </si>
  <si>
    <t>d) De acordo com a instrução normativas do TCERS, existe um aumento da receita corrente líquida.</t>
  </si>
  <si>
    <t>João Paulo Beltrão dos Santos                       Mauricio da Rosa</t>
  </si>
  <si>
    <t>Prefeito Municipal                                       Contador CRC/RS 68.238 0-6</t>
  </si>
  <si>
    <t xml:space="preserve">   Sec. Admin, Planej e Fazenda</t>
  </si>
  <si>
    <t>RECEITAS/DESPESAS</t>
  </si>
  <si>
    <t>PREVISÃO SUPERAVIT DO EXERCÍCIO ANTERIOR</t>
  </si>
  <si>
    <t xml:space="preserve">                  Prefeito Municipal                                       Contador CRC/RS 68.238</t>
  </si>
  <si>
    <t xml:space="preserve">             Sec. Adm, Plan e Fazenda</t>
  </si>
  <si>
    <t xml:space="preserve">               João Paulo Beltrão dos Santos                      Mauricio da Rosa </t>
  </si>
  <si>
    <t>Metodologia de Cálculo:</t>
  </si>
  <si>
    <t xml:space="preserve">               João Paulo Beltrão dos Santos                     </t>
  </si>
  <si>
    <t xml:space="preserve">                  Prefeito Municipal                                       </t>
  </si>
  <si>
    <t xml:space="preserve">      Mauricio da Rosa</t>
  </si>
  <si>
    <t>Contador CRC/RS 68.238</t>
  </si>
  <si>
    <t xml:space="preserve">Metodologia de Cálculo:        </t>
  </si>
  <si>
    <t>Fonte: Sec. Administração, Planejamento e Fazenda</t>
  </si>
  <si>
    <t>FONTE: Secretaria de Administração, Planejamento e Fazenda</t>
  </si>
  <si>
    <t> FONTE: Secretaria de Administração, Planejamento e Fazenda</t>
  </si>
  <si>
    <t xml:space="preserve">               João Paulo Beltrão dos Santos                                    Mauricio da Rosa</t>
  </si>
  <si>
    <t xml:space="preserve">                  Prefeito Municipal                                                    Contador CRC/RS 68.238</t>
  </si>
  <si>
    <t>Nota: No presente temos em analise horizontal das metas fiscais fixadas nos ultimos três exercicios, conforme Lei de Diretrizes Anteriores e a projeção para o exercício de futuros sendo a projeção de meta de variação do Estado, em 4,5%, a.a. de variação em percentual.</t>
  </si>
  <si>
    <t>FONTE: SECRETARIA DE ADMINISTRAÇÃO, PLANEJAMENTO E FAZENDA</t>
  </si>
  <si>
    <t>ITPU</t>
  </si>
  <si>
    <t>IMPOSTO</t>
  </si>
  <si>
    <t>AREA URBANA</t>
  </si>
  <si>
    <t>cfe codigo tríbutario</t>
  </si>
  <si>
    <t>FONTE: Secretaria de Administração, Planejmaneto e Fazenda</t>
  </si>
  <si>
    <t>Nota: O desconto acima está previsto no código tributário do município conforme a Lei Complementar nº 01/2001, Art. 201.</t>
  </si>
  <si>
    <t xml:space="preserve">                    Mauricio da Rosa</t>
  </si>
  <si>
    <t>Prefeito Municipal</t>
  </si>
  <si>
    <t xml:space="preserve">               Contador CRC/RS 68.238</t>
  </si>
  <si>
    <t>Sec. Admim, Plan e Fazenda</t>
  </si>
  <si>
    <t>Nota:</t>
  </si>
  <si>
    <t xml:space="preserve">1  -  A demonstração da margem de expansão das despesas obrigatórias de caráter continuado visa </t>
  </si>
  <si>
    <t xml:space="preserve">2 -  A metodologia empregada, baseou-se naquela atualmente empregada pelo Secretaria do Tesouro Nacional, </t>
  </si>
  <si>
    <t>3 - Assim, consideramos o efeito da variação do PIB sobre as Receitas Tributárias e sobre as Transfe</t>
  </si>
  <si>
    <t>rências Correntes, que são as fontes que concentram as receitas passíveis de indicação como forma</t>
  </si>
  <si>
    <t>de compensação para o aumento das  DOCC, na forma do art. 17, § 3º da LRF, ocorridas em anos anteriores.</t>
  </si>
  <si>
    <t>4 - No impacto de Novas  DOCC, foi considerado o aumento de despesas com pessoal e encargos de</t>
  </si>
  <si>
    <t>corrente do crescimento vegetativo da folha e da concessão de aumento salarial. Para as outras despe</t>
  </si>
  <si>
    <t>sas correntes, consideramos o aumento decorrente da variação real (acima da inflação, desse grupo de</t>
  </si>
  <si>
    <t>despesas).</t>
  </si>
  <si>
    <t xml:space="preserve">Prefeito Municipal                         Contador CRC/RS 68.238          Sec. Adm, Plan e Fazenda  </t>
  </si>
  <si>
    <t>ta, a ampliação da base de cálculo decorrente da variação real do PIB, estimada em 4,5% para o ano</t>
  </si>
  <si>
    <t>Eventos da Natureza (RF)</t>
  </si>
  <si>
    <t>Provisão para a não-cobrança de tributos lançados (RF)</t>
  </si>
  <si>
    <t>Outros eventos fiscais não previstos (EI)</t>
  </si>
  <si>
    <t>CONSERVAÇÃO DO PATRIMÔNIO PÚBLICO E PROVIDÊNCIAS A SEREM ADOTADAS PELO EXECUTIVO (Art. 45, § único, da LRF).</t>
  </si>
  <si>
    <t>Projetos em Andamento</t>
  </si>
  <si>
    <t>Previsão de Custo p/ conclusão</t>
  </si>
  <si>
    <t>Aquisição de Veículos</t>
  </si>
  <si>
    <t>2 – Informações sobre a conservação do Patrimônio Público</t>
  </si>
  <si>
    <t>Desenvolvimento de Grupo do Leite Cadeado</t>
  </si>
  <si>
    <t>João Paulo Beltrão dos Santos                                                         Mauricio da Rosa</t>
  </si>
  <si>
    <t>Prefeito Municipal                                                                        Contador CRC/RS 68.238</t>
  </si>
  <si>
    <t>FONTE SECRETARIA DE ADMINISTRAÇÃO, PLANEJAMENTO E FAZENDA</t>
  </si>
  <si>
    <t xml:space="preserve">Prefeito Municipal                                          Contador CRC/RS 68.238          Sec. Adm, Plan e Fazenda  </t>
  </si>
  <si>
    <t xml:space="preserve">            Secretaria Administração, Planejamento e Fazenda de Boa Vista do Cadeado.</t>
  </si>
  <si>
    <t>* A STN veda, no manual do RREO, a dedução do IRRF para efeitos de apuração da RCL</t>
  </si>
  <si>
    <t>Contrapartidas de Eventuais Convênios e Créditos Adicionais Orçamentárias (EC)</t>
  </si>
  <si>
    <t>Cód. Ação PPA e LDO</t>
  </si>
  <si>
    <t>(h) Estimativa da Compensação e Renúncia da Receita</t>
  </si>
  <si>
    <t>(i) Margem de Expansão das Despesas Obrigatórias de Caráter Continuado</t>
  </si>
  <si>
    <t>ANO 2013</t>
  </si>
  <si>
    <t>DEDUÇÕES DA RECEITA</t>
  </si>
  <si>
    <t>Despesas Realizadas</t>
  </si>
  <si>
    <t>Despesas Projetadas</t>
  </si>
  <si>
    <t>Despesas Correntes</t>
  </si>
  <si>
    <t>Despesas de Capital</t>
  </si>
  <si>
    <t xml:space="preserve">           </t>
  </si>
  <si>
    <t xml:space="preserve">Manutenção de Recursos em Reserva </t>
  </si>
  <si>
    <t>de Contingência</t>
  </si>
  <si>
    <t>Aquisição de Material e equipamento</t>
  </si>
  <si>
    <t>Aquisição de material e equipamento de administração</t>
  </si>
  <si>
    <t>Aquisição do veículo</t>
  </si>
  <si>
    <t>Aquisição de material e equip. permanente da educação</t>
  </si>
  <si>
    <t>Aquisição de material e equip. permanente da agricultura</t>
  </si>
  <si>
    <t>Aquisição de material e equip. permanente das obras</t>
  </si>
  <si>
    <t>Aquisição de material e equip. permanente da fazenda</t>
  </si>
  <si>
    <t>Ampliação do parque de máquinas</t>
  </si>
  <si>
    <t>Incentivo a melhoria de arrecadação</t>
  </si>
  <si>
    <t>Aquisição de material e equip. permanente</t>
  </si>
  <si>
    <t>Ampliação do posto de saúde</t>
  </si>
  <si>
    <t>Aquisição de veículo</t>
  </si>
  <si>
    <t>Aqusição de material e equip. permanente na ação comunitária</t>
  </si>
  <si>
    <t>Estruturação e construção do centro da melhor idade</t>
  </si>
  <si>
    <t>Contrução de moradias urbanas</t>
  </si>
  <si>
    <t>Construção de moradias rurais</t>
  </si>
  <si>
    <t>Confecção de lajotas</t>
  </si>
  <si>
    <t>Reformas de moradias</t>
  </si>
  <si>
    <t>Aquisição de veículos</t>
  </si>
  <si>
    <t>Ampliação e estruturação da escolas</t>
  </si>
  <si>
    <t>Aquisição de materail e equip. permanente escolas municipais</t>
  </si>
  <si>
    <t>Implantação do laboratório de informática</t>
  </si>
  <si>
    <t>Aquisição de Equip. e Mat. Permanente escolas municipais</t>
  </si>
  <si>
    <t>Infraestrutura da biblioteca e museu municipal</t>
  </si>
  <si>
    <t>Aqusição de material e equp. Permanente da cultura</t>
  </si>
  <si>
    <t>Amplaição e estruturação do ginásio municipal</t>
  </si>
  <si>
    <t>Aquisição de material e equip. permanete para esporte e lazer</t>
  </si>
  <si>
    <t>Desenvolvimento da psicultura e apicultura</t>
  </si>
  <si>
    <t>Aquisição de material e equip. permanete para patrulha agrícola</t>
  </si>
  <si>
    <t>Ampliação e melhorias na estrutura do parq.de rodeios e exposição</t>
  </si>
  <si>
    <t>Ampliar a rede de iluminação pública</t>
  </si>
  <si>
    <t>Ampliação do cemitério</t>
  </si>
  <si>
    <t>Melhorias e limpeza de praças</t>
  </si>
  <si>
    <t>Contrução de abrigo para de ônibus</t>
  </si>
  <si>
    <t>Ampliação da rede rural de àgua</t>
  </si>
  <si>
    <t>Ampliar a rede urbana de àgua</t>
  </si>
  <si>
    <t>Pavimentação de vias</t>
  </si>
  <si>
    <t>Sinalização e conservação de vias</t>
  </si>
  <si>
    <t>Construção e reformas de pontes</t>
  </si>
  <si>
    <t>Aquisção de máquinas rodoviárias e veículos</t>
  </si>
  <si>
    <t>Desenvolvimento para industrial e agroindustrial</t>
  </si>
  <si>
    <t>Contrução de infratestrutura ddas antenas retransmissora</t>
  </si>
  <si>
    <t>Contrução de módulos sanitários</t>
  </si>
  <si>
    <t>Central de Triagem de resíduos sólidos urbanos e aterro sanitário</t>
  </si>
  <si>
    <t>Desenvolvimento da fruticulatura e hortigranjeiros</t>
  </si>
  <si>
    <t xml:space="preserve"> O presente patrimônio, está passando por inventário, o qual já apresentou resultandos e da mesma forma estão finalizando as informções geradas, para ao final do exercício realizar a consolidação das informações.</t>
  </si>
  <si>
    <t>Previsão Para 2.011</t>
  </si>
  <si>
    <t>LC 011/2003</t>
  </si>
  <si>
    <t>Professor Nivel I</t>
  </si>
  <si>
    <t>Professor Nivel II</t>
  </si>
  <si>
    <t>Professor Nivel III</t>
  </si>
  <si>
    <t>LC 010/2003</t>
  </si>
  <si>
    <t>Operário - padrão 01</t>
  </si>
  <si>
    <t>Aux. Serv. Gerais- padrão 01</t>
  </si>
  <si>
    <t>Vigilante - padrão 01</t>
  </si>
  <si>
    <t>Oper. Esp-padrão 02</t>
  </si>
  <si>
    <t>Eletricista-padrão04</t>
  </si>
  <si>
    <t>Op.maq- padrão04</t>
  </si>
  <si>
    <t>Motorista- padrão04</t>
  </si>
  <si>
    <t>Visitador - padrão03</t>
  </si>
  <si>
    <t>Epidemiologico-padrão03</t>
  </si>
  <si>
    <t>Agente Saúde-padrão03</t>
  </si>
  <si>
    <t>Ag.AdAux-padrão 04</t>
  </si>
  <si>
    <t>Ag.Admpadrão 05</t>
  </si>
  <si>
    <t>Ag.Tributario-padrão06</t>
  </si>
  <si>
    <t>Sec Escola-padrão05</t>
  </si>
  <si>
    <t>Tec. Agricula-padrão05</t>
  </si>
  <si>
    <t>Tec. Contabil-padrão07</t>
  </si>
  <si>
    <t>F.Sanitario-padrão 05</t>
  </si>
  <si>
    <t>Tec. Enfermagem-padrão07</t>
  </si>
  <si>
    <t>Tesoureiro-padrão07</t>
  </si>
  <si>
    <t>Anal.RH-padrão07</t>
  </si>
  <si>
    <t>Fisioterapeuta-padrão08 *</t>
  </si>
  <si>
    <t>Nutricionista-padrão08 *</t>
  </si>
  <si>
    <t>Medico -padrão 10</t>
  </si>
  <si>
    <t>Engenheiro-padrão09 *</t>
  </si>
  <si>
    <t>Veterinario-padrão09</t>
  </si>
  <si>
    <t>Farmaceutico-padrão09 *</t>
  </si>
  <si>
    <t>Odontologo-padrão11 *</t>
  </si>
  <si>
    <t>Enfermeiro-padrão12</t>
  </si>
  <si>
    <t>Contador-padrão13</t>
  </si>
  <si>
    <t>Medico Geral-padrão14</t>
  </si>
  <si>
    <t>Em comissão e Funções de Confiança</t>
  </si>
  <si>
    <t xml:space="preserve">Fg 1 </t>
  </si>
  <si>
    <t>Fg 2</t>
  </si>
  <si>
    <t>Fg 3 Coord Controle Interno</t>
  </si>
  <si>
    <t xml:space="preserve">Coodenador de Setor </t>
  </si>
  <si>
    <t xml:space="preserve">Diretor </t>
  </si>
  <si>
    <t>Assessor de Impressa</t>
  </si>
  <si>
    <t>Chefe de Gabinete</t>
  </si>
  <si>
    <t>Coord. Compra e Licitações</t>
  </si>
  <si>
    <t>Ass. Legislação e Projetos</t>
  </si>
  <si>
    <t>Assessor juridico</t>
  </si>
  <si>
    <t>Secretarios Municipais</t>
  </si>
  <si>
    <t>Vice Prefeito</t>
  </si>
  <si>
    <t>Prefeito</t>
  </si>
  <si>
    <t>ANO 2014</t>
  </si>
  <si>
    <t>2013</t>
  </si>
  <si>
    <t>2014</t>
  </si>
  <si>
    <t>DESPESAS S/ RESERVA CONTINGÊNCIA</t>
  </si>
  <si>
    <r>
      <t>2010 –</t>
    </r>
    <r>
      <rPr>
        <sz val="10"/>
        <rFont val="Arial"/>
        <family val="2"/>
      </rPr>
      <t xml:space="preserve"> R$ 237.859.000.000,00</t>
    </r>
  </si>
  <si>
    <r>
      <t>2011 –</t>
    </r>
    <r>
      <rPr>
        <sz val="10"/>
        <rFont val="Arial"/>
        <family val="2"/>
      </rPr>
      <t xml:space="preserve"> R$ 264.808.000.000,00</t>
    </r>
  </si>
  <si>
    <r>
      <t>2012 –</t>
    </r>
    <r>
      <rPr>
        <sz val="10"/>
        <rFont val="Arial"/>
        <family val="2"/>
      </rPr>
      <t xml:space="preserve"> R$ 291.925.000.000,00</t>
    </r>
  </si>
  <si>
    <r>
      <t>2011 -</t>
    </r>
    <r>
      <rPr>
        <sz val="10"/>
        <rFont val="Arial"/>
        <family val="2"/>
      </rPr>
      <t xml:space="preserve"> 5%</t>
    </r>
  </si>
  <si>
    <r>
      <t>2012 –</t>
    </r>
    <r>
      <rPr>
        <sz val="10"/>
        <rFont val="Arial"/>
        <family val="2"/>
      </rPr>
      <t xml:space="preserve"> 4,5%</t>
    </r>
  </si>
  <si>
    <r>
      <t xml:space="preserve">2013 – </t>
    </r>
    <r>
      <rPr>
        <sz val="10"/>
        <rFont val="Arial"/>
        <family val="2"/>
      </rPr>
      <t>4,5%</t>
    </r>
  </si>
  <si>
    <r>
      <t xml:space="preserve">2014 - </t>
    </r>
    <r>
      <rPr>
        <sz val="10"/>
        <rFont val="Arial"/>
        <family val="2"/>
      </rPr>
      <t>4,5%</t>
    </r>
  </si>
  <si>
    <t>IPCA 4,5%</t>
  </si>
  <si>
    <t>Projeção do  PIB  (2012 a 2014) conforme LDO 2012 do Estado RS e  o índice de Inflação – IPCA (2012 a 2014) utilizado pela União na elaboração de sua LDO para 2010:</t>
  </si>
  <si>
    <t>no campo de valores constantes foram arredondados.</t>
  </si>
  <si>
    <t>,</t>
  </si>
  <si>
    <t>Nota: Com  relação ao presente demonstrativo, apresentamos somente no exercício de 2010 a aplicação de alienação de ativos sendo o mesmo utilizado para investimento na aquisição de novos equipamentos.</t>
  </si>
  <si>
    <t>NÃO UTILIZADO AINDA</t>
  </si>
  <si>
    <t xml:space="preserve">FONTE:  Secretaria da Administração, Planejamento e Fazenda </t>
  </si>
  <si>
    <t xml:space="preserve">  Na projeção da despesa estamos tomando muito cuidado com relação a execução e comprometimento dos recursos pois até apresente data, a economia do pais está num processo de aceleração, com as ações do Governo Federal, através de redução de impostos como o do Imposto sobre Produtos Industrializar, aquecendo a economia., por outro lado estamos atentos com as econominas mundiais que estão apresentando sucessivas crises que poderão comprometer as metas de arrecadação.</t>
  </si>
  <si>
    <t>Implantação de área para extração de cascalho (saibro)</t>
  </si>
  <si>
    <t>Fonte:</t>
  </si>
  <si>
    <t>Secretaria da Administração, Planejamento e Fazenda</t>
  </si>
  <si>
    <t>Professor Nivel III-Especial</t>
  </si>
  <si>
    <t>LC 53/2009</t>
  </si>
  <si>
    <t>Assessor de Esportes</t>
  </si>
  <si>
    <t>LC 062/2011</t>
  </si>
  <si>
    <t>Superivisro Pedagogico</t>
  </si>
  <si>
    <t>LC 065/2011</t>
  </si>
  <si>
    <t>Diretor de Escola</t>
  </si>
  <si>
    <t>Vice Diretor</t>
  </si>
  <si>
    <t>LC 048/2008</t>
  </si>
  <si>
    <t>PROJETAMOS A NECESSIDADE DE RECUPERAÇÃO DOS ÍNDICES INFLACIONÁRIOS, DESSA FORMA NÃO ALTERAMOS O QUADRO ACIMA, CASO HAVER NECESSIDADE</t>
  </si>
  <si>
    <t xml:space="preserve">DE ALTERAÇÃO NA ESTRUTURA SERÁ ENCAMINADO LEI ESPECÍFICA. </t>
  </si>
  <si>
    <t>Zulmara Lagunde Braun</t>
  </si>
  <si>
    <t>LEI DE DIRETRIZES ORÇAMENTÁRIAS - LDO 2013</t>
  </si>
  <si>
    <t>ANO 2015</t>
  </si>
  <si>
    <t>REESTIMATIVA</t>
  </si>
  <si>
    <t>2015</t>
  </si>
  <si>
    <t>b) índice de preço corresponde à inflação projetada para o exercício. A base para 2013/2015 é de 4,5% ao ano (projetado pela União na sua LDO).</t>
  </si>
  <si>
    <t>a) em 2013 foi feita a estimativa segundo os últimos 3 exercícios. Entretanto, havendo previsão de valores mais confiáveis deve-se adotar esta previsão, considerando que haverá modificação quando orçamento  encaminhado</t>
  </si>
  <si>
    <t>c) a projeção de crescimento da receita é de 2,94% considerando a previsão de 2013,  porém haverá uma redução de índice ICMS estando o provisório em 0,092829%. Para previsão a  proposta, teve como a analise: o crescimento ICMS dos dois últimos exercício 2010 e 2011, onde  teve um aumento de 18,81% no ano, já o  FPM também  aumentou  de  1,85%, sendo o conjunto de todas as receitas correspondem positivamente. Para exercício de 2014 a 2015, foram considerados a taxa de crescimento, conforme informações da L.D.O. do Estado, com o percentual de 4,5% a.a.</t>
  </si>
  <si>
    <t>Projeção do  PIB  (2010 a 2015) conforme LDO 2013 do Estado RS e  o índice de Inflação – IPCA (2013 a 2015) utilizado pela União na elaboração de sua LDO para 2013:</t>
  </si>
  <si>
    <t xml:space="preserve">             LDO 2013 - União</t>
  </si>
  <si>
    <r>
      <t xml:space="preserve">2013 – </t>
    </r>
    <r>
      <rPr>
        <sz val="10"/>
        <rFont val="Arial"/>
        <family val="2"/>
      </rPr>
      <t>R$</t>
    </r>
    <r>
      <rPr>
        <b/>
        <sz val="10"/>
        <rFont val="Arial"/>
        <family val="2"/>
      </rPr>
      <t xml:space="preserve"> </t>
    </r>
    <r>
      <rPr>
        <sz val="10"/>
        <rFont val="Arial"/>
        <family val="2"/>
      </rPr>
      <t>332.863.000.000,00</t>
    </r>
  </si>
  <si>
    <r>
      <t xml:space="preserve">2014 – </t>
    </r>
    <r>
      <rPr>
        <sz val="10"/>
        <rFont val="Arial"/>
        <family val="2"/>
      </rPr>
      <t>R$</t>
    </r>
    <r>
      <rPr>
        <b/>
        <sz val="10"/>
        <rFont val="Arial"/>
        <family val="2"/>
      </rPr>
      <t xml:space="preserve"> </t>
    </r>
    <r>
      <rPr>
        <sz val="10"/>
        <rFont val="Arial"/>
        <family val="2"/>
      </rPr>
      <t>366.973.000.000,00</t>
    </r>
  </si>
  <si>
    <r>
      <t xml:space="preserve">2015 - </t>
    </r>
    <r>
      <rPr>
        <sz val="10"/>
        <rFont val="Arial"/>
        <family val="2"/>
      </rPr>
      <t>R$ 404.579.000,000,00</t>
    </r>
  </si>
  <si>
    <r>
      <t>2015 -</t>
    </r>
    <r>
      <rPr>
        <sz val="10"/>
        <rFont val="Times New Roman"/>
        <family val="1"/>
      </rPr>
      <t xml:space="preserve">  4,5%</t>
    </r>
  </si>
  <si>
    <t>i) as receitas de transferências do sus e programas do estado foram considerado os valores dos últimos 3 anos, reprojentando o cálculo para o exercício de 2013, para os exercícios futuros</t>
  </si>
  <si>
    <t>h) para as despesas foram consideradas os valores das despesas nos ultimos 3 exercícios, porém para exercício de 2013, consideramos uso do superavit financeiro  mais a projeção de inflação para período de 4,5%, não fazem parte da soma os valores das reservas de contingências.</t>
  </si>
  <si>
    <t>e) as receitas próprios foram considerados média histórica dos últimos 3 anos reprojetando o cálculo para o exercício de 2013, com acréscimo de 4,5%, a. a.</t>
  </si>
  <si>
    <t xml:space="preserve">   As informações para a presente análise demonstram as principais receitas corrente que mantém o Município, sendo que o FPM obteve um crescimento médio de 1,85% entre o ano de 2010 e 2011, como o presente a possibilidade de oscilação é mínima os valores são através do coeficiente mínimo, a tendência para o exercício de 2013 é que haja uma projeção superior ao projetado para o exercício atual, o mesmo ocorre para todas as transferências da união, devido ao aquecimento da ecomonia nacional.</t>
  </si>
  <si>
    <t xml:space="preserve">   De outro lado estão as receitas do estado, no caso do ICMS, nosso índice provisório ficou em 0,092829%, o que representou uma queda com relação exercício de 2012 mas projetamos um crescimento devido ao Estado na suas projeção prevem crescimento, mas será de forma bem reduzida o crescimento para todas as receitas, como todas as projeções estão voltadas ao índice, então dessa forma entende-se que haverá aumento na participação do município com relação ao cota de distribuição dos recursos do estado, será semelhante a atua.</t>
  </si>
  <si>
    <t xml:space="preserve">   Em relação ao resultado primário, apresentamos como meta para o exercício de 2013, no valor de R$ 627.000,00 positivo, concluindo que atenderemos os pagamentos da divida fundada em virtude da  operação de crédito realizado no presente exercício de 2011,  além disso as receitas, com exceção as que tratam de aplicação financeiras e amortização de empréstimo considerado somente as receitas primárias líquidas serão todas aplicadas na projeção da despesa, . Também apresentamos o superávit financeiro que apresente previsão  no exercício atual, e que formará a projeção do resultado nominal. Para os outros exercícios somente aplicamos o percentual de inflação para o período de 4,5% os dois exercícios subseqüentes, conforme metas de inflação projetada pela Secretaria da Fazenda do Estado do Rio Grande do Sul e a Fundação de Estadual de Estatística.</t>
  </si>
  <si>
    <t xml:space="preserve">                Zulmara Lagunde Braun</t>
  </si>
  <si>
    <t>BASE PIB / RS – 2009 a 2015</t>
  </si>
  <si>
    <t>Inflação - IPCA (2011 a 2015)</t>
  </si>
  <si>
    <t xml:space="preserve">   Foram considerado o valor  como referencia ao ativo disponível e passivo financeiro do exercício de 2011,  mais as projeções atualizada de arrecadação entre a receita e despesa de 2012, além da divida consolidada incorporada no valor de R$ 1.100.000,00 da operação de crédito,do exercício de 2011  considerando os relatórios da execução orçamentários do mês de julho reprojetando a situação até o final do exercício, com base dessas informações para o exercício de 2013,  o compromotido do exercício com a dívida consolidada no ano e seu respectivo pagamento no período,   projetamos uma meta do resultado nominal no valor de R$ 103.360,00 valor positivo,  condição em que estamos analisando o disponível  que se verificará ao final de  2012, pelo fato de que a administração municipal através do superavit financeiro acumulado passou a executar os saldo disponiveis dessa forma, aumento na arrecadação deste exercício e o cronograma de ações demonostra um resultado de caixa satisfatório para período, com o comprometimento das metas fiscais. Caso ocorra modificações das projeções realizaremos ações que mantenha a meta proposta.</t>
  </si>
  <si>
    <t>Nota: No presente demonstrativo apresentamos a avaliação das metas comparando os resultados atuais com o projetado na L.D.O para o exercício de 2011, tanto com o que projetamos na  Lei de Diretrizes Orçamentárias e a Lei Orçamentária na situação atualizada até o quadrimestre. Dessa forma na execução do resultado primário apresenta-se uma situação de R$ 1.150.874,10 valor positivo no terceiro quadrimestre de 2011, onde a projeção foi de R$ 63.800,00 valor negativo para a Lei de Diretrizes, ja no caso do resultado nominal na Lei de Diretrizes Orçamentárias o valor projetado foi de R$ 253.900,00 valor positivo sendo que ao final do quadrimestre apresentou R$ 394.089,92 valor negativo. Na analise do demonstrativo podemos concluir que houve atendimento das metas fiscais projetadas.</t>
  </si>
  <si>
    <t>OBS: IPCA de 2010 e de 2011 cfe site do IBGE e 2013 a 2015 cfe projeção na LDO da União</t>
  </si>
  <si>
    <t xml:space="preserve">               Zulmara Lagunde Braun</t>
  </si>
  <si>
    <t>Nota: No presente demonstrativo temos a variação de 2009 a 2011 sendo maior a cada ano, em razão devido do município estar em constantes investimentos dessa forma o patrimônio capital do município esta em constante variação positiva, sendo que o crescimento em uma analise horizontal obteve em percentual 37,86%.</t>
  </si>
  <si>
    <t>2010
(b)</t>
  </si>
  <si>
    <t>2011
(a)</t>
  </si>
  <si>
    <t xml:space="preserve">                 Zulmara Lagunde Braun</t>
  </si>
  <si>
    <t xml:space="preserve">  Zulmara Lagunde Braun</t>
  </si>
  <si>
    <t>Valor Previsto 2.013</t>
  </si>
  <si>
    <t>e buscando informações na LDO do  Estado para 2013, que considera, o aumento permanente da recei-</t>
  </si>
  <si>
    <t>João Paulo Beltrão dos Santos           Mauricio da Rosa                   Zulmara Launde Braun</t>
  </si>
  <si>
    <t>assegurar que não haverá criação de nova despesa sem a correspondente fonte de financiamento,</t>
  </si>
  <si>
    <t>de 2013, neste demostrativo projetamos, baseando na arrecadação realizada em 2012  R$ 11.753.000,00 e a projeção para o novo</t>
  </si>
  <si>
    <t>exercício,  apresentando assim a margem expansão projetada</t>
  </si>
  <si>
    <t>Ampliação do centro administrativo</t>
  </si>
  <si>
    <t>Construção de qaudras esportivas nas comunidades</t>
  </si>
  <si>
    <t>Ações S.O.S. Água e Cidadania</t>
  </si>
  <si>
    <t>Abertura de Avenidas e Ruas</t>
  </si>
  <si>
    <t xml:space="preserve">Os projetos acima descritos são as ações da Administração Municipal que serão realizadas até o final do exercício, com a exceção das  do centro administrativo que não será realizado maiores modificações para período passível não ser realizado. </t>
  </si>
  <si>
    <t>Ao restante dos projetos que estão no orçamento do presente exercício, tem a previsão de conclusão ao final do exercício de 2012, porém estão somente considerados os valores previstos no orçamento sem uma individualização dos mesmos por representarem valores muitos pequenos e não ter uma exata situação de quando serão adquiridos. Também existe alguns que já apresentaram  conclusão.</t>
  </si>
  <si>
    <t>O valor patrimonial vale dizer que perfazem o valor de R$ 10.786.962,54, conforme balanço do exercício de 2011,  conforme valor original sem a devida reavaliação.</t>
  </si>
  <si>
    <t>Pedagoga</t>
  </si>
  <si>
    <t>João Paulo Beltrão dos Santos                    Mauricio da Rosa                        Zulmara Lagunde Braun</t>
  </si>
  <si>
    <t>Boa Vista do Cadeado, RS, 23 de Agosto de 2012</t>
  </si>
  <si>
    <t>Boa Vista do Cadeado, RS, 23 de Agosto de 2012.</t>
  </si>
  <si>
    <t>Boa Vista do Cadeado 23 de Agosto de 2012.</t>
  </si>
  <si>
    <t>Boa Vista do Cadeado, RS,  23 de Agosto de 2012.</t>
  </si>
  <si>
    <t>Psicologo-padrão08*</t>
  </si>
  <si>
    <t>Assit.Social-padrão08*</t>
  </si>
  <si>
    <t>NOTA: * FORAM CONSIDERADOS MÉDIAS DOS VALRES DE REMUNERAÇÃO, COM RESPECTIVA CARGA HORARIA.</t>
  </si>
</sst>
</file>

<file path=xl/styles.xml><?xml version="1.0" encoding="utf-8"?>
<styleSheet xmlns="http://schemas.openxmlformats.org/spreadsheetml/2006/main">
  <numFmts count="10">
    <numFmt numFmtId="6" formatCode="&quot;R$ &quot;#,##0_);[Red]\(&quot;R$ &quot;#,##0\)"/>
    <numFmt numFmtId="8" formatCode="&quot;R$ &quot;#,##0.00_);[Red]\(&quot;R$ &quot;#,##0.00\)"/>
    <numFmt numFmtId="43" formatCode="_(* #,##0.00_);_(* \(#,##0.00\);_(* &quot;-&quot;??_);_(@_)"/>
    <numFmt numFmtId="164" formatCode="_(* #,##0_);_(* \(#,##0\);_(* &quot;-&quot;??_);_(@_)"/>
    <numFmt numFmtId="165" formatCode="#,##0.000_);[Red]\(#,##0.000\)"/>
    <numFmt numFmtId="166" formatCode="0.0%"/>
    <numFmt numFmtId="167" formatCode="_(* #,##0.000_);_(* \(#,##0.000\);_(* &quot;-&quot;??_);_(@_)"/>
    <numFmt numFmtId="168" formatCode="_(* #,##0.0000_);_(* \(#,##0.0000\);_(* &quot;-&quot;??_);_(@_)"/>
    <numFmt numFmtId="169" formatCode="0.000"/>
    <numFmt numFmtId="170" formatCode="0.0000%"/>
  </numFmts>
  <fonts count="37">
    <font>
      <sz val="10"/>
      <name val="Arial"/>
    </font>
    <font>
      <sz val="10"/>
      <name val="Arial"/>
      <family val="2"/>
    </font>
    <font>
      <b/>
      <sz val="8"/>
      <name val="Times New Roman"/>
      <family val="1"/>
    </font>
    <font>
      <sz val="8"/>
      <name val="Times New Roman"/>
      <family val="1"/>
    </font>
    <font>
      <i/>
      <sz val="8"/>
      <name val="Times New Roman"/>
      <family val="1"/>
    </font>
    <font>
      <sz val="10"/>
      <name val="Times New Roman"/>
      <family val="1"/>
    </font>
    <font>
      <sz val="8"/>
      <name val="Arial"/>
      <family val="2"/>
    </font>
    <font>
      <b/>
      <sz val="10"/>
      <name val="Arial"/>
      <family val="2"/>
    </font>
    <font>
      <sz val="10"/>
      <name val="Arial"/>
      <family val="2"/>
    </font>
    <font>
      <b/>
      <sz val="10"/>
      <name val="Times New Roman"/>
      <family val="1"/>
    </font>
    <font>
      <b/>
      <sz val="9"/>
      <name val="Arial"/>
      <family val="2"/>
    </font>
    <font>
      <sz val="9"/>
      <name val="Times New Roman"/>
      <family val="1"/>
    </font>
    <font>
      <b/>
      <sz val="9"/>
      <name val="Times New Roman"/>
      <family val="1"/>
    </font>
    <font>
      <b/>
      <sz val="8"/>
      <name val="Arial"/>
      <family val="2"/>
    </font>
    <font>
      <b/>
      <u/>
      <sz val="8"/>
      <name val="Times New Roman"/>
      <family val="1"/>
    </font>
    <font>
      <b/>
      <u/>
      <sz val="10"/>
      <name val="Times New Roman"/>
      <family val="1"/>
    </font>
    <font>
      <sz val="12"/>
      <name val="Times New Roman"/>
      <family val="1"/>
    </font>
    <font>
      <sz val="7"/>
      <name val="Times New Roman"/>
      <family val="1"/>
    </font>
    <font>
      <sz val="10"/>
      <color indexed="8"/>
      <name val="Times New Roman"/>
      <family val="1"/>
    </font>
    <font>
      <b/>
      <sz val="10"/>
      <color indexed="8"/>
      <name val="Times New Roman"/>
      <family val="1"/>
    </font>
    <font>
      <sz val="10"/>
      <color indexed="10"/>
      <name val="Times New Roman"/>
      <family val="1"/>
    </font>
    <font>
      <b/>
      <sz val="11"/>
      <name val="Times New Roman"/>
      <family val="1"/>
    </font>
    <font>
      <b/>
      <sz val="12"/>
      <name val="Times New Roman"/>
      <family val="1"/>
    </font>
    <font>
      <sz val="20"/>
      <color indexed="8"/>
      <name val="Times New Roman"/>
      <family val="1"/>
    </font>
    <font>
      <sz val="11"/>
      <name val="Times New Roman"/>
      <family val="1"/>
    </font>
    <font>
      <sz val="8"/>
      <color indexed="10"/>
      <name val="Times New Roman"/>
      <family val="1"/>
    </font>
    <font>
      <sz val="10"/>
      <color theme="1"/>
      <name val="Times New Roman"/>
      <family val="1"/>
    </font>
    <font>
      <b/>
      <sz val="10"/>
      <color theme="1"/>
      <name val="Times New Roman"/>
      <family val="1"/>
    </font>
    <font>
      <b/>
      <u/>
      <sz val="10"/>
      <color theme="1"/>
      <name val="Times New Roman"/>
      <family val="1"/>
    </font>
    <font>
      <sz val="10"/>
      <color rgb="FFFF0000"/>
      <name val="Times New Roman"/>
      <family val="1"/>
    </font>
    <font>
      <sz val="10"/>
      <color indexed="8"/>
      <name val="Arial"/>
      <family val="2"/>
    </font>
    <font>
      <b/>
      <sz val="10"/>
      <color indexed="8"/>
      <name val="Arial"/>
      <family val="2"/>
    </font>
    <font>
      <sz val="10"/>
      <name val="Arial"/>
      <family val="2"/>
    </font>
    <font>
      <sz val="8"/>
      <color indexed="81"/>
      <name val="Tahoma"/>
      <family val="2"/>
    </font>
    <font>
      <b/>
      <sz val="8"/>
      <color indexed="81"/>
      <name val="Tahoma"/>
      <family val="2"/>
    </font>
    <font>
      <b/>
      <u/>
      <sz val="10"/>
      <name val="Arial"/>
      <family val="2"/>
    </font>
    <font>
      <sz val="10"/>
      <color theme="3" tint="0.39997558519241921"/>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
      <patternFill patternType="solid">
        <fgColor rgb="FFE6E6E6"/>
        <bgColor indexed="64"/>
      </patternFill>
    </fill>
    <fill>
      <patternFill patternType="solid">
        <fgColor theme="0" tint="-0.249977111117893"/>
        <bgColor indexed="64"/>
      </patternFill>
    </fill>
  </fills>
  <borders count="92">
    <border>
      <left/>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ck">
        <color indexed="64"/>
      </bottom>
      <diagonal/>
    </border>
    <border>
      <left/>
      <right/>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top style="thin">
        <color indexed="64"/>
      </top>
      <bottom style="thin">
        <color indexed="64"/>
      </bottom>
      <diagonal/>
    </border>
    <border>
      <left/>
      <right style="thick">
        <color indexed="64"/>
      </right>
      <top/>
      <bottom style="thick">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9"/>
      </left>
      <right style="thin">
        <color indexed="9"/>
      </right>
      <top/>
      <bottom style="thin">
        <color indexed="64"/>
      </bottom>
      <diagonal/>
    </border>
    <border>
      <left style="thin">
        <color indexed="64"/>
      </left>
      <right style="thin">
        <color indexed="64"/>
      </right>
      <top style="thin">
        <color indexed="64"/>
      </top>
      <bottom style="thin">
        <color indexed="9"/>
      </bottom>
      <diagonal/>
    </border>
    <border>
      <left/>
      <right style="thin">
        <color indexed="64"/>
      </right>
      <top style="thin">
        <color indexed="64"/>
      </top>
      <bottom style="thin">
        <color indexed="9"/>
      </bottom>
      <diagonal/>
    </border>
    <border>
      <left/>
      <right/>
      <top style="thin">
        <color indexed="64"/>
      </top>
      <bottom style="thin">
        <color indexed="9"/>
      </bottom>
      <diagonal/>
    </border>
    <border>
      <left style="thin">
        <color indexed="64"/>
      </left>
      <right style="thin">
        <color indexed="64"/>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right style="thin">
        <color indexed="64"/>
      </right>
      <top style="thin">
        <color indexed="9"/>
      </top>
      <bottom style="thin">
        <color indexed="64"/>
      </bottom>
      <diagonal/>
    </border>
    <border>
      <left/>
      <right/>
      <top style="thin">
        <color indexed="9"/>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9"/>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style="medium">
        <color indexed="64"/>
      </right>
      <top/>
      <bottom style="medium">
        <color indexed="64"/>
      </bottom>
      <diagonal/>
    </border>
    <border>
      <left/>
      <right style="thick">
        <color indexed="64"/>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687">
    <xf numFmtId="0" fontId="0" fillId="0" borderId="0" xfId="0"/>
    <xf numFmtId="0" fontId="3" fillId="0" borderId="0" xfId="0" applyNumberFormat="1" applyFont="1" applyFill="1" applyBorder="1" applyAlignment="1"/>
    <xf numFmtId="0" fontId="2" fillId="0" borderId="0" xfId="0" applyNumberFormat="1" applyFont="1" applyFill="1" applyAlignment="1"/>
    <xf numFmtId="0" fontId="3" fillId="0" borderId="0" xfId="0" applyNumberFormat="1" applyFont="1" applyFill="1" applyBorder="1" applyAlignment="1">
      <alignment vertical="center"/>
    </xf>
    <xf numFmtId="0" fontId="8" fillId="0" borderId="0" xfId="0" applyFont="1"/>
    <xf numFmtId="0" fontId="8" fillId="0" borderId="0" xfId="0" applyFont="1" applyFill="1"/>
    <xf numFmtId="0" fontId="8" fillId="0" borderId="0" xfId="0" applyFont="1" applyFill="1" applyAlignment="1">
      <alignment horizontal="center" vertical="center"/>
    </xf>
    <xf numFmtId="0" fontId="3" fillId="0" borderId="1" xfId="0" applyFont="1" applyFill="1" applyBorder="1" applyAlignment="1"/>
    <xf numFmtId="0" fontId="3" fillId="0" borderId="2" xfId="0" applyFont="1" applyFill="1" applyBorder="1" applyAlignment="1"/>
    <xf numFmtId="0" fontId="3" fillId="0" borderId="3" xfId="0" applyFont="1" applyFill="1" applyBorder="1" applyAlignment="1"/>
    <xf numFmtId="0" fontId="8" fillId="0" borderId="0" xfId="0" applyFont="1" applyFill="1" applyBorder="1"/>
    <xf numFmtId="0" fontId="9" fillId="0" borderId="0" xfId="0" applyNumberFormat="1" applyFont="1" applyFill="1" applyAlignment="1">
      <alignment horizontal="left"/>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horizontal="left"/>
    </xf>
    <xf numFmtId="164" fontId="8" fillId="0" borderId="4" xfId="2" applyNumberFormat="1" applyFont="1" applyFill="1" applyBorder="1" applyAlignment="1">
      <alignment horizontal="left" vertical="top" wrapText="1"/>
    </xf>
    <xf numFmtId="164" fontId="8" fillId="2" borderId="5" xfId="2" applyNumberFormat="1" applyFont="1" applyFill="1" applyBorder="1" applyAlignment="1">
      <alignment horizontal="left" vertical="top" wrapText="1"/>
    </xf>
    <xf numFmtId="164" fontId="8" fillId="2" borderId="6" xfId="2" applyNumberFormat="1" applyFont="1" applyFill="1" applyBorder="1" applyAlignment="1">
      <alignment horizontal="left" vertical="top" wrapText="1"/>
    </xf>
    <xf numFmtId="0" fontId="7" fillId="0" borderId="0" xfId="0" applyFont="1"/>
    <xf numFmtId="0" fontId="7" fillId="3" borderId="7"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165" fontId="0" fillId="0" borderId="10" xfId="2" applyNumberFormat="1" applyFont="1" applyFill="1" applyBorder="1"/>
    <xf numFmtId="165" fontId="0" fillId="0" borderId="11" xfId="2" applyNumberFormat="1" applyFont="1" applyFill="1" applyBorder="1"/>
    <xf numFmtId="165" fontId="0" fillId="0" borderId="12" xfId="2" applyNumberFormat="1" applyFont="1" applyFill="1" applyBorder="1"/>
    <xf numFmtId="165" fontId="0" fillId="0" borderId="13" xfId="2" applyNumberFormat="1" applyFont="1" applyFill="1" applyBorder="1"/>
    <xf numFmtId="165" fontId="0" fillId="0" borderId="4" xfId="2" applyNumberFormat="1" applyFont="1" applyFill="1" applyBorder="1"/>
    <xf numFmtId="165" fontId="0" fillId="0" borderId="14" xfId="2" applyNumberFormat="1" applyFont="1" applyFill="1" applyBorder="1"/>
    <xf numFmtId="165" fontId="0" fillId="0" borderId="15" xfId="2" applyNumberFormat="1" applyFont="1" applyFill="1" applyBorder="1"/>
    <xf numFmtId="165" fontId="0" fillId="0" borderId="16" xfId="2" applyNumberFormat="1" applyFont="1" applyFill="1" applyBorder="1"/>
    <xf numFmtId="165" fontId="0" fillId="0" borderId="17" xfId="2" applyNumberFormat="1" applyFont="1" applyFill="1" applyBorder="1"/>
    <xf numFmtId="165" fontId="7" fillId="0" borderId="18" xfId="0" applyNumberFormat="1" applyFont="1" applyFill="1" applyBorder="1"/>
    <xf numFmtId="0" fontId="0" fillId="0" borderId="19" xfId="0" applyBorder="1"/>
    <xf numFmtId="0" fontId="7" fillId="0" borderId="20" xfId="0" applyFont="1" applyBorder="1"/>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xf numFmtId="0" fontId="8" fillId="0" borderId="24" xfId="0" applyFont="1" applyBorder="1"/>
    <xf numFmtId="38" fontId="0" fillId="0" borderId="24" xfId="0" applyNumberFormat="1" applyBorder="1"/>
    <xf numFmtId="38" fontId="0" fillId="0" borderId="23" xfId="0" applyNumberFormat="1" applyBorder="1"/>
    <xf numFmtId="38" fontId="0" fillId="0" borderId="6" xfId="0" applyNumberFormat="1" applyBorder="1"/>
    <xf numFmtId="0" fontId="7" fillId="0" borderId="25" xfId="0" applyFont="1" applyBorder="1"/>
    <xf numFmtId="0" fontId="8" fillId="0" borderId="26" xfId="0" applyFont="1" applyBorder="1"/>
    <xf numFmtId="38" fontId="0" fillId="0" borderId="26" xfId="0" applyNumberFormat="1" applyBorder="1"/>
    <xf numFmtId="38" fontId="0" fillId="0" borderId="25" xfId="0" applyNumberFormat="1" applyBorder="1"/>
    <xf numFmtId="38" fontId="0" fillId="0" borderId="27" xfId="0" applyNumberFormat="1" applyBorder="1"/>
    <xf numFmtId="0" fontId="7" fillId="0" borderId="28" xfId="0" applyFont="1" applyBorder="1"/>
    <xf numFmtId="0" fontId="8" fillId="0" borderId="29" xfId="0" applyFont="1" applyBorder="1"/>
    <xf numFmtId="38" fontId="0" fillId="0" borderId="29" xfId="0" applyNumberFormat="1" applyBorder="1"/>
    <xf numFmtId="38" fontId="0" fillId="0" borderId="30" xfId="0" applyNumberFormat="1" applyBorder="1"/>
    <xf numFmtId="38" fontId="7" fillId="0" borderId="31" xfId="0" applyNumberFormat="1" applyFont="1" applyBorder="1"/>
    <xf numFmtId="38" fontId="7" fillId="0" borderId="28" xfId="0" applyNumberFormat="1" applyFont="1" applyBorder="1"/>
    <xf numFmtId="0" fontId="7" fillId="0" borderId="0" xfId="0" applyFont="1" applyFill="1" applyBorder="1"/>
    <xf numFmtId="0" fontId="11" fillId="0" borderId="0" xfId="0" applyFont="1" applyFill="1" applyAlignment="1">
      <alignment horizontal="left" vertical="center"/>
    </xf>
    <xf numFmtId="0" fontId="0" fillId="0" borderId="0" xfId="0" applyProtection="1">
      <protection locked="0"/>
    </xf>
    <xf numFmtId="0" fontId="7" fillId="0" borderId="0" xfId="0" applyFont="1" applyProtection="1">
      <protection locked="0"/>
    </xf>
    <xf numFmtId="166" fontId="3" fillId="0" borderId="0" xfId="1" applyNumberFormat="1" applyFont="1" applyFill="1" applyBorder="1" applyAlignment="1"/>
    <xf numFmtId="167" fontId="3" fillId="0" borderId="0" xfId="2" applyNumberFormat="1" applyFont="1" applyFill="1" applyBorder="1" applyAlignment="1"/>
    <xf numFmtId="168" fontId="3" fillId="0" borderId="0" xfId="2" applyNumberFormat="1" applyFont="1" applyFill="1" applyBorder="1" applyAlignment="1"/>
    <xf numFmtId="167" fontId="3" fillId="0" borderId="32" xfId="2" applyNumberFormat="1" applyFont="1" applyFill="1" applyBorder="1" applyAlignment="1">
      <alignment horizontal="center"/>
    </xf>
    <xf numFmtId="0" fontId="3" fillId="0" borderId="33" xfId="0" applyNumberFormat="1" applyFont="1" applyFill="1" applyBorder="1" applyAlignment="1">
      <alignment horizontal="center"/>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34" xfId="0" applyFont="1" applyFill="1" applyBorder="1" applyAlignment="1">
      <alignment horizontal="left" vertical="top" wrapText="1"/>
    </xf>
    <xf numFmtId="0" fontId="5" fillId="0" borderId="35" xfId="0" applyFont="1" applyFill="1" applyBorder="1" applyAlignment="1">
      <alignment vertical="top" wrapText="1"/>
    </xf>
    <xf numFmtId="8" fontId="5" fillId="0" borderId="35" xfId="0" applyNumberFormat="1" applyFont="1" applyFill="1" applyBorder="1" applyAlignment="1">
      <alignment horizontal="right" vertical="top" wrapText="1"/>
    </xf>
    <xf numFmtId="164" fontId="8" fillId="2" borderId="4" xfId="2" applyNumberFormat="1" applyFont="1" applyFill="1" applyBorder="1" applyAlignment="1">
      <alignment horizontal="left" vertical="top" wrapText="1"/>
    </xf>
    <xf numFmtId="164" fontId="8" fillId="2" borderId="36" xfId="2" applyNumberFormat="1" applyFont="1" applyFill="1" applyBorder="1" applyAlignment="1">
      <alignment horizontal="left" vertical="top" wrapText="1"/>
    </xf>
    <xf numFmtId="0" fontId="8" fillId="0" borderId="6" xfId="0" applyFont="1" applyFill="1" applyBorder="1"/>
    <xf numFmtId="164" fontId="8" fillId="0" borderId="36" xfId="2" applyNumberFormat="1" applyFont="1" applyFill="1" applyBorder="1" applyAlignment="1">
      <alignment horizontal="left" vertical="top" wrapText="1"/>
    </xf>
    <xf numFmtId="0" fontId="5" fillId="0" borderId="4" xfId="0" applyFont="1" applyFill="1" applyBorder="1" applyAlignment="1"/>
    <xf numFmtId="0" fontId="3" fillId="0" borderId="4" xfId="0" applyFont="1" applyFill="1" applyBorder="1" applyAlignment="1">
      <alignment horizontal="left" vertical="top" wrapText="1"/>
    </xf>
    <xf numFmtId="3" fontId="7" fillId="0" borderId="4" xfId="0" applyNumberFormat="1" applyFont="1" applyFill="1" applyBorder="1" applyAlignment="1">
      <alignment vertical="center"/>
    </xf>
    <xf numFmtId="0" fontId="7" fillId="0" borderId="4" xfId="0" applyFont="1" applyBorder="1" applyAlignment="1"/>
    <xf numFmtId="3" fontId="7" fillId="0" borderId="36" xfId="0" applyNumberFormat="1" applyFont="1" applyFill="1" applyBorder="1" applyAlignment="1">
      <alignment vertical="center"/>
    </xf>
    <xf numFmtId="0" fontId="7" fillId="0" borderId="36" xfId="0" applyFont="1" applyBorder="1" applyAlignment="1"/>
    <xf numFmtId="0" fontId="3" fillId="0" borderId="37" xfId="0" applyFont="1" applyFill="1" applyBorder="1" applyAlignment="1">
      <alignment horizontal="left" vertical="top"/>
    </xf>
    <xf numFmtId="0" fontId="8" fillId="0" borderId="0" xfId="0" applyFont="1" applyFill="1" applyBorder="1" applyAlignment="1">
      <alignment horizontal="center" vertical="center"/>
    </xf>
    <xf numFmtId="0" fontId="8" fillId="0" borderId="0" xfId="0" applyFont="1" applyFill="1" applyBorder="1" applyAlignment="1"/>
    <xf numFmtId="0" fontId="16" fillId="0" borderId="34"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5" fillId="0" borderId="6" xfId="0" applyFont="1" applyFill="1" applyBorder="1" applyAlignment="1">
      <alignment horizontal="right" vertical="top" wrapText="1"/>
    </xf>
    <xf numFmtId="0" fontId="3" fillId="0" borderId="38" xfId="0" applyFont="1" applyFill="1" applyBorder="1" applyAlignment="1">
      <alignment horizont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wrapText="1"/>
    </xf>
    <xf numFmtId="0" fontId="3" fillId="0" borderId="41" xfId="0" applyFont="1" applyFill="1" applyBorder="1" applyAlignment="1">
      <alignment horizontal="center" vertical="center" wrapText="1"/>
    </xf>
    <xf numFmtId="0" fontId="5" fillId="0" borderId="40" xfId="0" applyFont="1" applyFill="1" applyBorder="1" applyAlignment="1">
      <alignment horizontal="center" vertical="top" wrapText="1"/>
    </xf>
    <xf numFmtId="0" fontId="3" fillId="0" borderId="41" xfId="0" applyFont="1" applyFill="1" applyBorder="1" applyAlignment="1">
      <alignment horizontal="center" vertical="top" wrapText="1"/>
    </xf>
    <xf numFmtId="0" fontId="5" fillId="0" borderId="42" xfId="0" applyFont="1" applyFill="1" applyBorder="1" applyAlignment="1">
      <alignment horizontal="right" vertical="top" wrapText="1"/>
    </xf>
    <xf numFmtId="0" fontId="5" fillId="0" borderId="39"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39" xfId="0" applyFont="1" applyFill="1" applyBorder="1" applyAlignment="1">
      <alignment horizontal="right" vertical="top" wrapText="1"/>
    </xf>
    <xf numFmtId="0" fontId="5" fillId="0" borderId="34" xfId="0" applyFont="1" applyFill="1" applyBorder="1" applyAlignment="1">
      <alignment horizontal="right" vertical="top" wrapText="1"/>
    </xf>
    <xf numFmtId="0" fontId="5" fillId="0" borderId="41"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41" xfId="0" applyFont="1" applyFill="1" applyBorder="1" applyAlignment="1">
      <alignment horizontal="right" vertical="top" wrapText="1"/>
    </xf>
    <xf numFmtId="0" fontId="5" fillId="0" borderId="5" xfId="0" applyFont="1" applyFill="1" applyBorder="1" applyAlignment="1">
      <alignment horizontal="right" vertical="top" wrapText="1"/>
    </xf>
    <xf numFmtId="0" fontId="5" fillId="0" borderId="4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3" xfId="0" applyFont="1" applyFill="1" applyBorder="1" applyAlignment="1">
      <alignment horizontal="right" vertical="top" wrapText="1"/>
    </xf>
    <xf numFmtId="0" fontId="3" fillId="0" borderId="0" xfId="0" applyFont="1" applyFill="1" applyAlignment="1">
      <alignment horizontal="left" vertical="top" wrapText="1"/>
    </xf>
    <xf numFmtId="0" fontId="5" fillId="0" borderId="0" xfId="0" applyFont="1" applyFill="1" applyAlignment="1">
      <alignment horizontal="right" vertical="top" wrapText="1"/>
    </xf>
    <xf numFmtId="0" fontId="5" fillId="0" borderId="0" xfId="0" applyFont="1" applyFill="1"/>
    <xf numFmtId="8" fontId="3" fillId="0" borderId="0" xfId="0" applyNumberFormat="1" applyFont="1" applyFill="1" applyBorder="1" applyAlignment="1">
      <alignment horizontal="right" vertical="top" wrapText="1"/>
    </xf>
    <xf numFmtId="0" fontId="3" fillId="0" borderId="36" xfId="0" applyFont="1" applyFill="1" applyBorder="1" applyAlignment="1">
      <alignment horizontal="left" vertical="top"/>
    </xf>
    <xf numFmtId="0" fontId="8" fillId="0" borderId="27" xfId="0" applyFont="1" applyFill="1" applyBorder="1"/>
    <xf numFmtId="0" fontId="26" fillId="0" borderId="0" xfId="0" applyFont="1" applyAlignment="1">
      <alignment horizontal="justify"/>
    </xf>
    <xf numFmtId="0" fontId="29" fillId="0" borderId="0" xfId="0" applyFont="1" applyAlignment="1">
      <alignment horizontal="justify"/>
    </xf>
    <xf numFmtId="0" fontId="26" fillId="0" borderId="0" xfId="0" applyFont="1" applyAlignment="1"/>
    <xf numFmtId="0" fontId="26" fillId="0" borderId="0" xfId="0" applyFont="1" applyAlignment="1">
      <alignment wrapText="1"/>
    </xf>
    <xf numFmtId="0" fontId="27" fillId="0" borderId="0" xfId="0" applyFont="1" applyAlignment="1">
      <alignment wrapText="1"/>
    </xf>
    <xf numFmtId="0" fontId="27" fillId="0" borderId="0" xfId="0" applyFont="1" applyAlignment="1"/>
    <xf numFmtId="43" fontId="11" fillId="0" borderId="44" xfId="2" applyFont="1" applyFill="1" applyBorder="1" applyAlignment="1">
      <alignment horizontal="center" vertical="center"/>
    </xf>
    <xf numFmtId="43" fontId="11" fillId="0" borderId="45" xfId="2" applyFont="1" applyFill="1" applyBorder="1" applyAlignment="1">
      <alignment horizontal="center" vertical="center"/>
    </xf>
    <xf numFmtId="43" fontId="11" fillId="0" borderId="0" xfId="2" applyFont="1" applyFill="1" applyAlignment="1">
      <alignment horizontal="center" vertical="center"/>
    </xf>
    <xf numFmtId="43" fontId="12" fillId="0" borderId="0" xfId="2" applyFont="1" applyFill="1" applyAlignment="1">
      <alignment horizontal="center" vertical="center"/>
    </xf>
    <xf numFmtId="10" fontId="11" fillId="0" borderId="45" xfId="0" applyNumberFormat="1" applyFont="1" applyFill="1" applyBorder="1" applyAlignment="1">
      <alignment horizontal="center" vertical="center"/>
    </xf>
    <xf numFmtId="0" fontId="11" fillId="0" borderId="0" xfId="0" applyFont="1" applyFill="1" applyAlignment="1"/>
    <xf numFmtId="8" fontId="12" fillId="0" borderId="0" xfId="0" applyNumberFormat="1" applyFont="1" applyFill="1" applyBorder="1" applyAlignment="1">
      <alignment horizontal="right"/>
    </xf>
    <xf numFmtId="0" fontId="12" fillId="0" borderId="46" xfId="0" applyFont="1" applyFill="1" applyBorder="1" applyAlignment="1">
      <alignment horizontal="left" vertical="center"/>
    </xf>
    <xf numFmtId="3" fontId="12" fillId="0" borderId="47" xfId="0" applyNumberFormat="1" applyFont="1" applyFill="1" applyBorder="1" applyAlignment="1">
      <alignment horizontal="center" vertical="center"/>
    </xf>
    <xf numFmtId="3" fontId="12" fillId="0" borderId="48" xfId="0" applyNumberFormat="1" applyFont="1" applyFill="1" applyBorder="1" applyAlignment="1">
      <alignment horizontal="center" vertical="center"/>
    </xf>
    <xf numFmtId="0" fontId="11" fillId="0" borderId="45" xfId="0" applyFont="1" applyFill="1" applyBorder="1" applyAlignment="1">
      <alignment horizontal="left" vertical="center"/>
    </xf>
    <xf numFmtId="0" fontId="12" fillId="0" borderId="45" xfId="0" applyFont="1" applyFill="1" applyBorder="1" applyAlignment="1">
      <alignment horizontal="center" vertical="center"/>
    </xf>
    <xf numFmtId="0" fontId="12" fillId="0" borderId="49" xfId="0" applyFont="1" applyFill="1" applyBorder="1" applyAlignment="1">
      <alignment horizontal="left" vertical="center"/>
    </xf>
    <xf numFmtId="0" fontId="12" fillId="0" borderId="44" xfId="0" applyNumberFormat="1" applyFont="1" applyFill="1" applyBorder="1" applyAlignment="1">
      <alignment horizontal="left" vertical="center"/>
    </xf>
    <xf numFmtId="0" fontId="12" fillId="0" borderId="48" xfId="0" applyNumberFormat="1" applyFont="1" applyFill="1" applyBorder="1" applyAlignment="1">
      <alignment horizontal="left" vertical="center"/>
    </xf>
    <xf numFmtId="0" fontId="12" fillId="0" borderId="47" xfId="0" applyNumberFormat="1" applyFont="1" applyFill="1" applyBorder="1" applyAlignment="1">
      <alignment horizontal="left" vertical="center"/>
    </xf>
    <xf numFmtId="0" fontId="12" fillId="0" borderId="45" xfId="0" applyNumberFormat="1" applyFont="1" applyFill="1" applyBorder="1" applyAlignment="1">
      <alignment horizontal="left" vertical="center"/>
    </xf>
    <xf numFmtId="0" fontId="12" fillId="0" borderId="50" xfId="0" applyNumberFormat="1" applyFont="1" applyFill="1" applyBorder="1" applyAlignment="1"/>
    <xf numFmtId="43" fontId="12" fillId="0" borderId="44" xfId="2" applyFont="1" applyFill="1" applyBorder="1" applyAlignment="1"/>
    <xf numFmtId="43" fontId="12" fillId="0" borderId="45" xfId="2" applyFont="1" applyFill="1" applyBorder="1" applyAlignment="1"/>
    <xf numFmtId="0" fontId="11" fillId="0" borderId="51" xfId="0" applyNumberFormat="1" applyFont="1" applyFill="1" applyBorder="1" applyAlignment="1"/>
    <xf numFmtId="43" fontId="11" fillId="0" borderId="52" xfId="2" applyFont="1" applyFill="1" applyBorder="1" applyAlignment="1"/>
    <xf numFmtId="43" fontId="11" fillId="0" borderId="11" xfId="2" applyFont="1" applyFill="1" applyBorder="1" applyAlignment="1"/>
    <xf numFmtId="43" fontId="11" fillId="0" borderId="43" xfId="2" applyFont="1" applyFill="1" applyBorder="1" applyAlignment="1"/>
    <xf numFmtId="43" fontId="11" fillId="0" borderId="5" xfId="2" applyFont="1" applyFill="1" applyBorder="1" applyAlignment="1"/>
    <xf numFmtId="43" fontId="11" fillId="0" borderId="53" xfId="2" applyFont="1" applyFill="1" applyBorder="1" applyAlignment="1"/>
    <xf numFmtId="43" fontId="11" fillId="0" borderId="6" xfId="2" applyFont="1" applyFill="1" applyBorder="1" applyAlignment="1"/>
    <xf numFmtId="43" fontId="11" fillId="0" borderId="54" xfId="2" applyFont="1" applyFill="1" applyBorder="1" applyAlignment="1">
      <alignment vertical="center"/>
    </xf>
    <xf numFmtId="43" fontId="11" fillId="0" borderId="55" xfId="2" applyFont="1" applyFill="1" applyBorder="1" applyAlignment="1"/>
    <xf numFmtId="43" fontId="11" fillId="0" borderId="4" xfId="2" applyFont="1" applyFill="1" applyBorder="1" applyAlignment="1"/>
    <xf numFmtId="43" fontId="11" fillId="0" borderId="36" xfId="2" applyFont="1" applyFill="1" applyBorder="1" applyAlignment="1"/>
    <xf numFmtId="43" fontId="11" fillId="0" borderId="37" xfId="2" applyFont="1" applyFill="1" applyBorder="1" applyAlignment="1"/>
    <xf numFmtId="43" fontId="11" fillId="0" borderId="56" xfId="2" applyFont="1" applyFill="1" applyBorder="1" applyAlignment="1"/>
    <xf numFmtId="43" fontId="11" fillId="0" borderId="57" xfId="2" applyFont="1" applyFill="1" applyBorder="1" applyAlignment="1"/>
    <xf numFmtId="43" fontId="11" fillId="0" borderId="27" xfId="2" applyFont="1" applyFill="1" applyBorder="1" applyAlignment="1"/>
    <xf numFmtId="43" fontId="11" fillId="0" borderId="57" xfId="2" applyFont="1" applyFill="1" applyBorder="1" applyAlignment="1">
      <alignment vertical="center"/>
    </xf>
    <xf numFmtId="0" fontId="11" fillId="0" borderId="58" xfId="0" applyNumberFormat="1" applyFont="1" applyFill="1" applyBorder="1" applyAlignment="1"/>
    <xf numFmtId="43" fontId="11" fillId="0" borderId="59" xfId="2" applyFont="1" applyFill="1" applyBorder="1" applyAlignment="1"/>
    <xf numFmtId="43" fontId="11" fillId="0" borderId="38" xfId="2" applyFont="1" applyFill="1" applyBorder="1" applyAlignment="1"/>
    <xf numFmtId="43" fontId="11" fillId="0" borderId="39" xfId="2" applyFont="1" applyFill="1" applyBorder="1" applyAlignment="1"/>
    <xf numFmtId="43" fontId="11" fillId="0" borderId="42" xfId="2" applyFont="1" applyFill="1" applyBorder="1" applyAlignment="1"/>
    <xf numFmtId="43" fontId="11" fillId="0" borderId="60" xfId="2" applyFont="1" applyFill="1" applyBorder="1" applyAlignment="1"/>
    <xf numFmtId="43" fontId="11" fillId="0" borderId="61" xfId="2" applyFont="1" applyFill="1" applyBorder="1" applyAlignment="1"/>
    <xf numFmtId="0" fontId="12" fillId="0" borderId="44" xfId="0" applyNumberFormat="1" applyFont="1" applyFill="1" applyBorder="1" applyAlignment="1"/>
    <xf numFmtId="43" fontId="11" fillId="0" borderId="44" xfId="2" applyFont="1" applyFill="1" applyBorder="1" applyAlignment="1"/>
    <xf numFmtId="43" fontId="11" fillId="0" borderId="45" xfId="2" applyFont="1" applyFill="1" applyBorder="1" applyAlignment="1"/>
    <xf numFmtId="43" fontId="12" fillId="0" borderId="47" xfId="2" applyFont="1" applyFill="1" applyBorder="1" applyAlignment="1">
      <alignment horizontal="left" vertical="center"/>
    </xf>
    <xf numFmtId="43" fontId="12" fillId="0" borderId="44" xfId="2" applyFont="1" applyFill="1" applyBorder="1" applyAlignment="1">
      <alignment horizontal="left" vertical="center"/>
    </xf>
    <xf numFmtId="43" fontId="12" fillId="0" borderId="48" xfId="2" applyFont="1" applyFill="1" applyBorder="1" applyAlignment="1">
      <alignment horizontal="left" vertical="center"/>
    </xf>
    <xf numFmtId="43" fontId="12" fillId="0" borderId="44" xfId="2" applyFont="1" applyFill="1" applyBorder="1" applyAlignment="1">
      <alignment horizontal="center" vertical="center"/>
    </xf>
    <xf numFmtId="0" fontId="11" fillId="0" borderId="50" xfId="0" applyNumberFormat="1" applyFont="1" applyFill="1" applyBorder="1" applyAlignment="1"/>
    <xf numFmtId="43" fontId="12" fillId="0" borderId="4" xfId="2" applyFont="1" applyBorder="1" applyProtection="1">
      <protection locked="0"/>
    </xf>
    <xf numFmtId="43" fontId="11" fillId="0" borderId="4" xfId="2" applyFont="1" applyBorder="1" applyProtection="1">
      <protection locked="0"/>
    </xf>
    <xf numFmtId="43" fontId="5" fillId="0" borderId="4" xfId="2" applyFont="1" applyBorder="1" applyAlignment="1">
      <alignment horizontal="right" vertical="top" wrapText="1"/>
    </xf>
    <xf numFmtId="43" fontId="9" fillId="0" borderId="4" xfId="2" applyFont="1" applyBorder="1" applyAlignment="1">
      <alignment horizontal="right" vertical="top" wrapText="1"/>
    </xf>
    <xf numFmtId="43" fontId="11" fillId="0" borderId="49" xfId="2" applyFont="1" applyFill="1" applyBorder="1" applyAlignment="1"/>
    <xf numFmtId="43" fontId="11" fillId="0" borderId="0" xfId="2" applyFont="1" applyFill="1" applyBorder="1" applyAlignment="1"/>
    <xf numFmtId="0" fontId="12" fillId="0" borderId="51" xfId="0" applyNumberFormat="1" applyFont="1" applyFill="1" applyBorder="1" applyAlignment="1"/>
    <xf numFmtId="0" fontId="12" fillId="0" borderId="47" xfId="0" applyNumberFormat="1" applyFont="1" applyFill="1" applyBorder="1" applyAlignment="1"/>
    <xf numFmtId="43" fontId="21" fillId="4" borderId="44" xfId="2" applyFont="1" applyFill="1" applyBorder="1" applyAlignment="1">
      <alignment horizontal="right"/>
    </xf>
    <xf numFmtId="43" fontId="12" fillId="4" borderId="44" xfId="2" applyFont="1" applyFill="1" applyBorder="1" applyAlignment="1">
      <alignment horizontal="right"/>
    </xf>
    <xf numFmtId="43" fontId="12" fillId="4" borderId="47" xfId="2" applyFont="1" applyFill="1" applyBorder="1" applyAlignment="1">
      <alignment horizontal="right"/>
    </xf>
    <xf numFmtId="43" fontId="12" fillId="4" borderId="45" xfId="2" applyFont="1" applyFill="1" applyBorder="1" applyAlignment="1">
      <alignment horizontal="right"/>
    </xf>
    <xf numFmtId="43" fontId="11" fillId="4" borderId="45" xfId="2" applyFont="1" applyFill="1" applyBorder="1" applyAlignment="1">
      <alignment horizontal="right" vertical="center"/>
    </xf>
    <xf numFmtId="0" fontId="5" fillId="0" borderId="0" xfId="0" applyFont="1"/>
    <xf numFmtId="164" fontId="5" fillId="0" borderId="0" xfId="2" applyNumberFormat="1" applyFont="1"/>
    <xf numFmtId="0" fontId="11" fillId="0" borderId="0" xfId="0" applyFont="1"/>
    <xf numFmtId="43" fontId="11" fillId="0" borderId="0" xfId="0" applyNumberFormat="1" applyFont="1" applyProtection="1">
      <protection locked="0"/>
    </xf>
    <xf numFmtId="0" fontId="11" fillId="0" borderId="0" xfId="0" applyFont="1" applyProtection="1">
      <protection locked="0"/>
    </xf>
    <xf numFmtId="43" fontId="11" fillId="0" borderId="0" xfId="0" applyNumberFormat="1" applyFont="1"/>
    <xf numFmtId="0" fontId="9" fillId="0" borderId="0" xfId="0" applyFont="1" applyAlignment="1">
      <alignment horizontal="center"/>
    </xf>
    <xf numFmtId="3" fontId="22" fillId="0" borderId="0" xfId="0" applyNumberFormat="1" applyFont="1" applyAlignment="1">
      <alignment horizontal="center"/>
    </xf>
    <xf numFmtId="0" fontId="18" fillId="2" borderId="4" xfId="0" applyFont="1" applyFill="1" applyBorder="1"/>
    <xf numFmtId="0" fontId="18" fillId="2" borderId="40" xfId="0" applyFont="1" applyFill="1" applyBorder="1"/>
    <xf numFmtId="43" fontId="19" fillId="2" borderId="40" xfId="0" applyNumberFormat="1" applyFont="1" applyFill="1" applyBorder="1"/>
    <xf numFmtId="0" fontId="18" fillId="0" borderId="0" xfId="0" applyFont="1"/>
    <xf numFmtId="43" fontId="18" fillId="0" borderId="0" xfId="0" applyNumberFormat="1" applyFont="1"/>
    <xf numFmtId="0" fontId="5" fillId="0" borderId="0" xfId="0" applyFont="1" applyFill="1" applyBorder="1"/>
    <xf numFmtId="0" fontId="5" fillId="0" borderId="0" xfId="0" applyFont="1" applyAlignment="1">
      <alignment horizontal="left"/>
    </xf>
    <xf numFmtId="0" fontId="5" fillId="0" borderId="0" xfId="0" applyFont="1" applyAlignment="1"/>
    <xf numFmtId="0" fontId="26" fillId="0" borderId="0" xfId="0" applyFont="1"/>
    <xf numFmtId="0" fontId="12" fillId="0" borderId="0" xfId="0" applyFont="1" applyAlignment="1">
      <alignment horizontal="center"/>
    </xf>
    <xf numFmtId="0" fontId="12" fillId="0" borderId="0" xfId="0" applyFont="1" applyBorder="1" applyAlignment="1">
      <alignment horizontal="center"/>
    </xf>
    <xf numFmtId="0" fontId="12" fillId="0" borderId="37" xfId="0" applyFont="1" applyFill="1" applyBorder="1"/>
    <xf numFmtId="43" fontId="11" fillId="0" borderId="27" xfId="2" applyFont="1" applyFill="1" applyBorder="1"/>
    <xf numFmtId="0" fontId="12" fillId="0" borderId="5" xfId="0" applyFont="1" applyFill="1" applyBorder="1"/>
    <xf numFmtId="0" fontId="12" fillId="0" borderId="37" xfId="0" applyFont="1" applyFill="1" applyBorder="1" applyAlignment="1">
      <alignment horizontal="left" indent="2"/>
    </xf>
    <xf numFmtId="43" fontId="12" fillId="0" borderId="27" xfId="2" applyFont="1" applyFill="1" applyBorder="1"/>
    <xf numFmtId="0" fontId="12" fillId="0" borderId="0" xfId="0" applyFont="1"/>
    <xf numFmtId="0" fontId="12" fillId="0" borderId="37" xfId="0" applyFont="1" applyFill="1" applyBorder="1" applyAlignment="1">
      <alignment horizontal="left"/>
    </xf>
    <xf numFmtId="0" fontId="23" fillId="0" borderId="0" xfId="0" applyFont="1"/>
    <xf numFmtId="0" fontId="12" fillId="0" borderId="61" xfId="0" applyFont="1" applyFill="1" applyBorder="1" applyAlignment="1">
      <alignment horizontal="left"/>
    </xf>
    <xf numFmtId="0" fontId="12" fillId="0" borderId="0" xfId="0" applyFont="1" applyFill="1" applyBorder="1" applyAlignment="1">
      <alignment horizontal="left"/>
    </xf>
    <xf numFmtId="0" fontId="9" fillId="5" borderId="38" xfId="0" applyFont="1" applyFill="1" applyBorder="1" applyAlignment="1">
      <alignment horizontal="center"/>
    </xf>
    <xf numFmtId="0" fontId="5" fillId="0" borderId="4" xfId="0" applyFont="1" applyBorder="1"/>
    <xf numFmtId="43" fontId="5" fillId="6" borderId="4" xfId="2" applyFont="1" applyFill="1" applyBorder="1"/>
    <xf numFmtId="43" fontId="9" fillId="3" borderId="4" xfId="2" applyFont="1" applyFill="1" applyBorder="1"/>
    <xf numFmtId="43" fontId="5" fillId="7" borderId="4" xfId="2" applyFont="1" applyFill="1" applyBorder="1" applyProtection="1">
      <protection locked="0"/>
    </xf>
    <xf numFmtId="43" fontId="5" fillId="0" borderId="4" xfId="2" applyFont="1" applyBorder="1" applyProtection="1">
      <protection locked="0"/>
    </xf>
    <xf numFmtId="43" fontId="9" fillId="0" borderId="4" xfId="2" applyFont="1" applyBorder="1" applyProtection="1">
      <protection locked="0"/>
    </xf>
    <xf numFmtId="43" fontId="9" fillId="6" borderId="4" xfId="2" applyFont="1" applyFill="1" applyBorder="1"/>
    <xf numFmtId="0" fontId="5" fillId="0" borderId="4" xfId="0" applyFont="1" applyBorder="1" applyAlignment="1">
      <alignment horizontal="left" indent="1"/>
    </xf>
    <xf numFmtId="0" fontId="5" fillId="0" borderId="4" xfId="0" applyFont="1" applyBorder="1" applyAlignment="1">
      <alignment horizontal="left" indent="2"/>
    </xf>
    <xf numFmtId="0" fontId="9" fillId="3" borderId="4" xfId="0" applyFont="1" applyFill="1" applyBorder="1"/>
    <xf numFmtId="0" fontId="9" fillId="0" borderId="0" xfId="0" applyFont="1" applyProtection="1">
      <protection locked="0"/>
    </xf>
    <xf numFmtId="0" fontId="24" fillId="0" borderId="0" xfId="0" applyFont="1" applyFill="1"/>
    <xf numFmtId="0" fontId="9" fillId="0" borderId="62" xfId="0" applyFont="1" applyFill="1" applyBorder="1" applyAlignment="1">
      <alignment wrapText="1"/>
    </xf>
    <xf numFmtId="0" fontId="5" fillId="0" borderId="0" xfId="0" applyFont="1" applyFill="1" applyAlignment="1">
      <alignment horizontal="center" vertical="center"/>
    </xf>
    <xf numFmtId="0" fontId="9" fillId="0" borderId="63" xfId="0" applyFont="1" applyFill="1" applyBorder="1" applyAlignment="1">
      <alignment horizontal="center" vertical="top" wrapText="1"/>
    </xf>
    <xf numFmtId="0" fontId="9" fillId="0" borderId="64" xfId="0" applyFont="1" applyFill="1" applyBorder="1" applyAlignment="1">
      <alignment horizontal="center" vertical="top" wrapText="1"/>
    </xf>
    <xf numFmtId="0" fontId="9" fillId="0" borderId="65" xfId="0" applyFont="1" applyFill="1" applyBorder="1" applyAlignment="1">
      <alignment horizontal="center" wrapText="1"/>
    </xf>
    <xf numFmtId="0" fontId="9" fillId="0" borderId="66" xfId="0" applyFont="1" applyFill="1" applyBorder="1" applyAlignment="1">
      <alignment horizontal="center" vertical="top" wrapText="1"/>
    </xf>
    <xf numFmtId="0" fontId="9" fillId="0" borderId="67" xfId="0" applyFont="1" applyFill="1" applyBorder="1" applyAlignment="1">
      <alignment horizontal="center" vertical="top" wrapText="1"/>
    </xf>
    <xf numFmtId="0" fontId="9" fillId="0" borderId="2" xfId="0" applyFont="1" applyFill="1" applyBorder="1" applyAlignment="1">
      <alignment horizontal="center" wrapText="1"/>
    </xf>
    <xf numFmtId="0" fontId="9" fillId="0" borderId="68" xfId="0" applyFont="1" applyFill="1" applyBorder="1" applyAlignment="1">
      <alignment horizontal="center" vertical="top" wrapText="1"/>
    </xf>
    <xf numFmtId="0" fontId="9" fillId="0" borderId="69" xfId="0" applyFont="1" applyFill="1" applyBorder="1" applyAlignment="1">
      <alignment vertical="top" wrapText="1"/>
    </xf>
    <xf numFmtId="0" fontId="9" fillId="0" borderId="69" xfId="0" applyFont="1" applyFill="1" applyBorder="1" applyAlignment="1">
      <alignment horizontal="center" vertical="top" wrapText="1"/>
    </xf>
    <xf numFmtId="0" fontId="9" fillId="0" borderId="70" xfId="0" applyFont="1" applyFill="1" applyBorder="1" applyAlignment="1">
      <alignment horizontal="center" wrapText="1"/>
    </xf>
    <xf numFmtId="0" fontId="9" fillId="0" borderId="34" xfId="0" applyFont="1" applyFill="1" applyBorder="1" applyAlignment="1">
      <alignment wrapText="1"/>
    </xf>
    <xf numFmtId="43" fontId="9" fillId="0" borderId="34" xfId="2" applyFont="1" applyFill="1" applyBorder="1" applyAlignment="1">
      <alignment wrapText="1"/>
    </xf>
    <xf numFmtId="0" fontId="9" fillId="0" borderId="5" xfId="0" applyFont="1" applyFill="1" applyBorder="1" applyAlignment="1">
      <alignment wrapText="1"/>
    </xf>
    <xf numFmtId="43" fontId="9" fillId="0" borderId="5" xfId="2" applyFont="1" applyFill="1" applyBorder="1" applyAlignment="1">
      <alignment wrapText="1"/>
    </xf>
    <xf numFmtId="0" fontId="20" fillId="0" borderId="0" xfId="0" applyFont="1" applyFill="1"/>
    <xf numFmtId="0" fontId="25" fillId="0" borderId="49" xfId="0" applyFont="1" applyBorder="1"/>
    <xf numFmtId="0" fontId="25" fillId="0" borderId="0" xfId="0" applyFont="1" applyFill="1" applyBorder="1"/>
    <xf numFmtId="0" fontId="25" fillId="0" borderId="71" xfId="0" applyFont="1" applyFill="1" applyBorder="1"/>
    <xf numFmtId="166" fontId="25" fillId="0" borderId="0" xfId="1" applyNumberFormat="1" applyFont="1" applyFill="1" applyBorder="1"/>
    <xf numFmtId="166" fontId="25" fillId="0" borderId="71" xfId="1" applyNumberFormat="1" applyFont="1" applyFill="1" applyBorder="1"/>
    <xf numFmtId="164" fontId="25" fillId="0" borderId="0" xfId="2" applyNumberFormat="1" applyFont="1" applyFill="1" applyBorder="1"/>
    <xf numFmtId="164" fontId="25" fillId="0" borderId="71" xfId="2" applyNumberFormat="1" applyFont="1" applyFill="1" applyBorder="1"/>
    <xf numFmtId="0" fontId="25" fillId="0" borderId="72" xfId="0" applyFont="1" applyBorder="1"/>
    <xf numFmtId="164" fontId="25" fillId="0" borderId="73" xfId="2" applyNumberFormat="1" applyFont="1" applyFill="1" applyBorder="1"/>
    <xf numFmtId="0" fontId="25" fillId="0" borderId="0" xfId="0" applyFont="1"/>
    <xf numFmtId="166" fontId="20" fillId="0" borderId="0" xfId="0" applyNumberFormat="1" applyFont="1" applyFill="1"/>
    <xf numFmtId="0" fontId="27" fillId="0" borderId="0" xfId="0" applyFont="1" applyAlignment="1">
      <alignment horizontal="center"/>
    </xf>
    <xf numFmtId="167" fontId="9" fillId="0" borderId="34" xfId="2" applyNumberFormat="1" applyFont="1" applyFill="1" applyBorder="1" applyAlignment="1">
      <alignment wrapText="1"/>
    </xf>
    <xf numFmtId="167" fontId="9" fillId="0" borderId="0" xfId="2" applyNumberFormat="1" applyFont="1" applyFill="1" applyAlignment="1">
      <alignment wrapText="1"/>
    </xf>
    <xf numFmtId="0" fontId="21" fillId="0" borderId="0" xfId="0" applyNumberFormat="1" applyFont="1" applyFill="1" applyAlignment="1"/>
    <xf numFmtId="8" fontId="24" fillId="0" borderId="0" xfId="0" applyNumberFormat="1" applyFont="1" applyFill="1" applyBorder="1" applyAlignment="1">
      <alignment wrapText="1"/>
    </xf>
    <xf numFmtId="0" fontId="11" fillId="0" borderId="0" xfId="0" applyFont="1" applyFill="1"/>
    <xf numFmtId="0" fontId="11" fillId="0" borderId="0" xfId="0" applyFont="1" applyFill="1" applyBorder="1" applyAlignment="1"/>
    <xf numFmtId="0" fontId="12" fillId="0" borderId="0" xfId="0" applyNumberFormat="1" applyFont="1" applyFill="1" applyAlignment="1"/>
    <xf numFmtId="8" fontId="11" fillId="0" borderId="0" xfId="0" applyNumberFormat="1" applyFont="1" applyFill="1" applyBorder="1" applyAlignment="1">
      <alignment wrapText="1"/>
    </xf>
    <xf numFmtId="0" fontId="12" fillId="0" borderId="6" xfId="0" applyNumberFormat="1" applyFont="1" applyFill="1" applyBorder="1" applyAlignment="1"/>
    <xf numFmtId="8" fontId="11" fillId="0" borderId="6" xfId="0" applyNumberFormat="1" applyFont="1" applyFill="1" applyBorder="1" applyAlignment="1">
      <alignment wrapText="1"/>
    </xf>
    <xf numFmtId="0" fontId="11" fillId="0" borderId="38" xfId="0" applyFont="1" applyFill="1" applyBorder="1" applyAlignment="1">
      <alignment horizontal="center" wrapText="1"/>
    </xf>
    <xf numFmtId="3" fontId="11" fillId="0" borderId="40" xfId="0" applyNumberFormat="1" applyFont="1" applyFill="1" applyBorder="1" applyAlignment="1">
      <alignment horizontal="center" wrapText="1"/>
    </xf>
    <xf numFmtId="0" fontId="11" fillId="0" borderId="34" xfId="0" applyFont="1" applyFill="1" applyBorder="1" applyAlignment="1">
      <alignment horizontal="center" wrapText="1"/>
    </xf>
    <xf numFmtId="0" fontId="11" fillId="0" borderId="0" xfId="0" applyFont="1" applyFill="1" applyAlignment="1">
      <alignment horizontal="center" wrapText="1"/>
    </xf>
    <xf numFmtId="0" fontId="11" fillId="0" borderId="11" xfId="0" applyFont="1" applyFill="1" applyBorder="1" applyAlignment="1">
      <alignment horizontal="center" wrapText="1"/>
    </xf>
    <xf numFmtId="0" fontId="11" fillId="0" borderId="5" xfId="0" applyFont="1" applyFill="1" applyBorder="1" applyAlignment="1">
      <alignment horizontal="center" wrapText="1"/>
    </xf>
    <xf numFmtId="0" fontId="11" fillId="0" borderId="6" xfId="0" applyFont="1" applyFill="1" applyBorder="1" applyAlignment="1">
      <alignment horizontal="center" wrapText="1"/>
    </xf>
    <xf numFmtId="0" fontId="11" fillId="0" borderId="34" xfId="0" applyFont="1" applyFill="1" applyBorder="1" applyAlignment="1">
      <alignment wrapText="1"/>
    </xf>
    <xf numFmtId="169" fontId="11" fillId="0" borderId="34" xfId="0" applyNumberFormat="1" applyFont="1" applyFill="1" applyBorder="1" applyAlignment="1">
      <alignment wrapText="1"/>
    </xf>
    <xf numFmtId="43" fontId="11" fillId="0" borderId="34" xfId="2" applyFont="1" applyBorder="1" applyAlignment="1">
      <alignment wrapText="1"/>
    </xf>
    <xf numFmtId="43" fontId="11" fillId="0" borderId="34" xfId="0" applyNumberFormat="1" applyFont="1" applyFill="1" applyBorder="1" applyAlignment="1">
      <alignment vertical="top" wrapText="1"/>
    </xf>
    <xf numFmtId="0" fontId="11" fillId="0" borderId="5" xfId="0" applyFont="1" applyFill="1" applyBorder="1" applyAlignment="1">
      <alignment wrapText="1"/>
    </xf>
    <xf numFmtId="43" fontId="11" fillId="0" borderId="5" xfId="2" applyFont="1" applyBorder="1" applyAlignment="1">
      <alignment wrapText="1"/>
    </xf>
    <xf numFmtId="2" fontId="11" fillId="0" borderId="0" xfId="0" applyNumberFormat="1" applyFont="1" applyFill="1" applyAlignment="1">
      <alignment vertical="top" wrapText="1"/>
    </xf>
    <xf numFmtId="0" fontId="11" fillId="0" borderId="61" xfId="0" applyFont="1" applyFill="1" applyBorder="1" applyAlignment="1">
      <alignment horizontal="left"/>
    </xf>
    <xf numFmtId="43" fontId="5" fillId="0" borderId="34" xfId="2" applyFont="1" applyFill="1" applyBorder="1" applyAlignment="1">
      <alignment wrapText="1"/>
    </xf>
    <xf numFmtId="43" fontId="5" fillId="0" borderId="5" xfId="2" applyFont="1" applyFill="1" applyBorder="1" applyAlignment="1">
      <alignment wrapText="1"/>
    </xf>
    <xf numFmtId="0" fontId="9" fillId="0" borderId="0" xfId="0" applyFont="1" applyFill="1" applyBorder="1" applyAlignment="1"/>
    <xf numFmtId="0" fontId="5" fillId="0" borderId="0" xfId="0" applyNumberFormat="1" applyFont="1" applyFill="1" applyBorder="1" applyAlignment="1"/>
    <xf numFmtId="8" fontId="5" fillId="0" borderId="0" xfId="0" applyNumberFormat="1" applyFont="1" applyFill="1" applyBorder="1" applyAlignment="1">
      <alignment horizontal="right"/>
    </xf>
    <xf numFmtId="0" fontId="5" fillId="0" borderId="61" xfId="0" applyNumberFormat="1" applyFont="1" applyFill="1" applyBorder="1" applyAlignment="1"/>
    <xf numFmtId="0" fontId="5" fillId="0" borderId="0"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0" fontId="5" fillId="0" borderId="38" xfId="0" applyNumberFormat="1" applyFont="1" applyFill="1" applyBorder="1" applyAlignment="1">
      <alignment horizontal="center" vertical="center"/>
    </xf>
    <xf numFmtId="0" fontId="5" fillId="0" borderId="6" xfId="0" applyNumberFormat="1" applyFont="1" applyFill="1" applyBorder="1" applyAlignment="1"/>
    <xf numFmtId="0" fontId="5" fillId="0" borderId="41" xfId="0" applyNumberFormat="1" applyFont="1" applyFill="1" applyBorder="1" applyAlignment="1"/>
    <xf numFmtId="0" fontId="5" fillId="0" borderId="40" xfId="0" applyNumberFormat="1" applyFont="1" applyFill="1" applyBorder="1" applyAlignment="1"/>
    <xf numFmtId="0" fontId="5" fillId="0" borderId="11" xfId="0" applyNumberFormat="1" applyFont="1" applyFill="1" applyBorder="1" applyAlignment="1"/>
    <xf numFmtId="0" fontId="5" fillId="0" borderId="43" xfId="0" applyNumberFormat="1" applyFont="1" applyFill="1" applyBorder="1" applyAlignment="1"/>
    <xf numFmtId="43" fontId="5" fillId="0" borderId="38" xfId="2" applyFont="1" applyFill="1" applyBorder="1" applyAlignment="1">
      <alignment vertical="top"/>
    </xf>
    <xf numFmtId="43" fontId="5" fillId="0" borderId="38" xfId="0" applyNumberFormat="1" applyFont="1" applyFill="1" applyBorder="1" applyAlignment="1">
      <alignment vertical="top"/>
    </xf>
    <xf numFmtId="43" fontId="5" fillId="0" borderId="40" xfId="0" applyNumberFormat="1" applyFont="1" applyFill="1" applyBorder="1" applyAlignment="1">
      <alignment vertical="top"/>
    </xf>
    <xf numFmtId="43" fontId="5" fillId="0" borderId="40" xfId="2" applyFont="1" applyFill="1" applyBorder="1" applyAlignment="1">
      <alignment vertical="top"/>
    </xf>
    <xf numFmtId="43" fontId="5" fillId="0" borderId="11" xfId="2" applyFont="1" applyFill="1" applyBorder="1" applyAlignment="1">
      <alignment vertical="top"/>
    </xf>
    <xf numFmtId="43" fontId="5" fillId="0" borderId="11" xfId="0" applyNumberFormat="1" applyFont="1" applyFill="1" applyBorder="1" applyAlignment="1">
      <alignment vertical="top"/>
    </xf>
    <xf numFmtId="0" fontId="5" fillId="0" borderId="42" xfId="0" applyNumberFormat="1" applyFont="1" applyFill="1" applyBorder="1" applyAlignment="1">
      <alignment horizontal="center" vertical="center"/>
    </xf>
    <xf numFmtId="0" fontId="5" fillId="0" borderId="5" xfId="0" applyNumberFormat="1" applyFont="1" applyFill="1" applyBorder="1" applyAlignment="1"/>
    <xf numFmtId="0" fontId="5" fillId="0" borderId="11" xfId="0" applyNumberFormat="1" applyFont="1" applyFill="1" applyBorder="1" applyAlignment="1">
      <alignment horizontal="center"/>
    </xf>
    <xf numFmtId="0" fontId="5" fillId="0" borderId="0" xfId="0" applyFont="1" applyBorder="1"/>
    <xf numFmtId="43" fontId="5" fillId="0" borderId="40" xfId="0" applyNumberFormat="1" applyFont="1" applyFill="1" applyBorder="1" applyAlignment="1"/>
    <xf numFmtId="43" fontId="5" fillId="0" borderId="11" xfId="0" applyNumberFormat="1" applyFont="1" applyFill="1" applyBorder="1" applyAlignment="1"/>
    <xf numFmtId="43" fontId="5" fillId="0" borderId="40" xfId="2" applyFont="1" applyFill="1" applyBorder="1" applyAlignment="1"/>
    <xf numFmtId="0" fontId="5" fillId="0" borderId="61" xfId="0" applyNumberFormat="1" applyFont="1" applyFill="1" applyBorder="1" applyAlignment="1">
      <alignment horizontal="center" vertical="center"/>
    </xf>
    <xf numFmtId="0" fontId="5" fillId="0" borderId="42" xfId="0" applyNumberFormat="1" applyFont="1" applyFill="1" applyBorder="1" applyAlignment="1">
      <alignment vertical="top"/>
    </xf>
    <xf numFmtId="43" fontId="5" fillId="0" borderId="11" xfId="2" applyFont="1" applyFill="1" applyBorder="1" applyAlignment="1"/>
    <xf numFmtId="0" fontId="5" fillId="0" borderId="0" xfId="0" applyFont="1" applyFill="1" applyBorder="1" applyAlignment="1">
      <alignment horizontal="left" vertical="top" wrapText="1"/>
    </xf>
    <xf numFmtId="43" fontId="11" fillId="0" borderId="0" xfId="2" applyFont="1" applyProtection="1">
      <protection locked="0"/>
    </xf>
    <xf numFmtId="43" fontId="11" fillId="0" borderId="0" xfId="2" applyFont="1"/>
    <xf numFmtId="0" fontId="21" fillId="0" borderId="0" xfId="0" applyFont="1" applyFill="1" applyBorder="1" applyAlignment="1"/>
    <xf numFmtId="0" fontId="9" fillId="0" borderId="74" xfId="0" applyNumberFormat="1" applyFont="1" applyFill="1" applyBorder="1" applyAlignment="1"/>
    <xf numFmtId="0" fontId="5" fillId="0" borderId="35" xfId="0" applyFont="1" applyFill="1" applyBorder="1" applyAlignment="1">
      <alignment wrapText="1"/>
    </xf>
    <xf numFmtId="8" fontId="5" fillId="0" borderId="35" xfId="0" applyNumberFormat="1" applyFont="1" applyFill="1" applyBorder="1" applyAlignment="1">
      <alignment horizontal="right" wrapText="1"/>
    </xf>
    <xf numFmtId="0" fontId="5" fillId="0" borderId="34" xfId="0" applyFont="1" applyFill="1" applyBorder="1" applyAlignment="1">
      <alignment wrapText="1"/>
    </xf>
    <xf numFmtId="0" fontId="5" fillId="0" borderId="0" xfId="0" applyFont="1" applyFill="1" applyAlignment="1">
      <alignment wrapText="1"/>
    </xf>
    <xf numFmtId="0" fontId="5" fillId="0" borderId="5" xfId="0" applyFont="1" applyFill="1" applyBorder="1" applyAlignment="1">
      <alignment wrapText="1"/>
    </xf>
    <xf numFmtId="0" fontId="5" fillId="0" borderId="6" xfId="0" applyFont="1" applyFill="1" applyBorder="1" applyAlignment="1">
      <alignment wrapText="1"/>
    </xf>
    <xf numFmtId="0" fontId="5" fillId="0" borderId="37" xfId="0" applyFont="1" applyFill="1" applyBorder="1" applyAlignment="1">
      <alignment wrapText="1"/>
    </xf>
    <xf numFmtId="0" fontId="5" fillId="0" borderId="27" xfId="0" applyFont="1" applyFill="1" applyBorder="1" applyAlignment="1">
      <alignment wrapText="1"/>
    </xf>
    <xf numFmtId="0" fontId="5" fillId="0" borderId="0" xfId="0" applyFont="1" applyFill="1" applyBorder="1" applyAlignment="1">
      <alignment wrapText="1"/>
    </xf>
    <xf numFmtId="43" fontId="5" fillId="0" borderId="4" xfId="2" applyFont="1" applyFill="1" applyBorder="1" applyAlignment="1">
      <alignment wrapText="1"/>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xf>
    <xf numFmtId="0" fontId="9" fillId="0" borderId="43" xfId="0" applyFont="1" applyBorder="1" applyAlignment="1">
      <alignment horizontal="center"/>
    </xf>
    <xf numFmtId="0" fontId="5" fillId="0" borderId="34" xfId="0" applyFont="1" applyFill="1" applyBorder="1" applyAlignment="1">
      <alignment vertical="top" wrapText="1"/>
    </xf>
    <xf numFmtId="43" fontId="5" fillId="0" borderId="38" xfId="2" applyFont="1" applyFill="1" applyBorder="1" applyAlignment="1">
      <alignment vertical="top" wrapText="1"/>
    </xf>
    <xf numFmtId="43" fontId="5" fillId="0" borderId="39" xfId="2" applyFont="1" applyFill="1" applyBorder="1" applyAlignment="1">
      <alignment vertical="top" wrapText="1"/>
    </xf>
    <xf numFmtId="43" fontId="5" fillId="0" borderId="40" xfId="2" applyFont="1" applyFill="1" applyBorder="1" applyAlignment="1">
      <alignment vertical="top" wrapText="1"/>
    </xf>
    <xf numFmtId="43" fontId="5" fillId="0" borderId="41" xfId="2" applyFont="1" applyFill="1" applyBorder="1" applyAlignment="1">
      <alignment vertical="top" wrapText="1"/>
    </xf>
    <xf numFmtId="0" fontId="5" fillId="0" borderId="5" xfId="0" applyFont="1" applyFill="1" applyBorder="1" applyAlignment="1">
      <alignment vertical="top" wrapText="1"/>
    </xf>
    <xf numFmtId="43" fontId="5" fillId="0" borderId="11" xfId="2" applyFont="1" applyFill="1" applyBorder="1" applyAlignment="1">
      <alignment vertical="top" wrapText="1"/>
    </xf>
    <xf numFmtId="43" fontId="5" fillId="0" borderId="43" xfId="2" applyFont="1" applyFill="1" applyBorder="1" applyAlignment="1">
      <alignment vertical="top" wrapText="1"/>
    </xf>
    <xf numFmtId="43" fontId="5" fillId="0" borderId="5" xfId="2" applyFont="1" applyFill="1" applyBorder="1" applyAlignment="1">
      <alignment vertical="top" wrapText="1"/>
    </xf>
    <xf numFmtId="43" fontId="5" fillId="0" borderId="6" xfId="2" applyFont="1" applyFill="1" applyBorder="1" applyAlignment="1">
      <alignment vertical="top" wrapText="1"/>
    </xf>
    <xf numFmtId="0" fontId="9" fillId="0" borderId="3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Border="1" applyAlignment="1">
      <alignment horizontal="center"/>
    </xf>
    <xf numFmtId="0" fontId="9" fillId="0" borderId="43" xfId="0" applyFont="1" applyFill="1" applyBorder="1" applyAlignment="1">
      <alignment horizontal="center" vertical="center" wrapText="1"/>
    </xf>
    <xf numFmtId="0" fontId="11" fillId="0" borderId="34" xfId="0" applyFont="1" applyFill="1" applyBorder="1" applyAlignment="1">
      <alignment vertical="top" wrapText="1"/>
    </xf>
    <xf numFmtId="0" fontId="5" fillId="0" borderId="0" xfId="0" applyFont="1" applyFill="1" applyAlignment="1">
      <alignment vertical="top" wrapText="1"/>
    </xf>
    <xf numFmtId="0" fontId="5" fillId="0" borderId="6" xfId="0" applyFont="1" applyFill="1" applyBorder="1" applyAlignment="1">
      <alignment vertical="top" wrapText="1"/>
    </xf>
    <xf numFmtId="0" fontId="9" fillId="0" borderId="34" xfId="0" applyFont="1" applyFill="1" applyBorder="1" applyAlignment="1">
      <alignment vertical="top" wrapText="1"/>
    </xf>
    <xf numFmtId="0" fontId="9" fillId="0" borderId="0" xfId="0" applyFont="1" applyFill="1" applyBorder="1" applyAlignment="1">
      <alignment vertical="top" wrapText="1"/>
    </xf>
    <xf numFmtId="0" fontId="9" fillId="0" borderId="44" xfId="0" applyFont="1" applyFill="1" applyBorder="1" applyAlignment="1">
      <alignment vertical="center" wrapText="1"/>
    </xf>
    <xf numFmtId="0" fontId="2" fillId="0" borderId="44" xfId="0" applyFont="1" applyFill="1" applyBorder="1" applyAlignment="1">
      <alignment horizontal="center"/>
    </xf>
    <xf numFmtId="0" fontId="9" fillId="0" borderId="44" xfId="0" applyFont="1" applyFill="1" applyBorder="1" applyAlignment="1">
      <alignment horizontal="center"/>
    </xf>
    <xf numFmtId="0" fontId="9" fillId="0" borderId="44" xfId="0" applyFont="1" applyFill="1" applyBorder="1" applyAlignment="1">
      <alignment vertical="top" wrapText="1"/>
    </xf>
    <xf numFmtId="43" fontId="5" fillId="0" borderId="34" xfId="2" applyFont="1" applyFill="1" applyBorder="1" applyAlignment="1">
      <alignment vertical="top" wrapText="1"/>
    </xf>
    <xf numFmtId="0" fontId="9" fillId="0" borderId="0" xfId="0" applyNumberFormat="1" applyFont="1" applyFill="1" applyAlignment="1"/>
    <xf numFmtId="0" fontId="12" fillId="0" borderId="0" xfId="0" applyFont="1" applyFill="1" applyBorder="1" applyAlignment="1"/>
    <xf numFmtId="0" fontId="11" fillId="0" borderId="0" xfId="0" applyNumberFormat="1" applyFont="1" applyFill="1" applyAlignment="1"/>
    <xf numFmtId="0" fontId="11" fillId="0" borderId="75" xfId="0" applyFont="1" applyFill="1" applyBorder="1" applyAlignment="1">
      <alignment horizontal="left"/>
    </xf>
    <xf numFmtId="0" fontId="11" fillId="0" borderId="70" xfId="0" applyFont="1" applyFill="1" applyBorder="1" applyAlignment="1">
      <alignment horizontal="left" wrapText="1"/>
    </xf>
    <xf numFmtId="0" fontId="11" fillId="0" borderId="76" xfId="0" applyFont="1" applyFill="1" applyBorder="1" applyAlignment="1">
      <alignment horizontal="left" wrapText="1"/>
    </xf>
    <xf numFmtId="8" fontId="11" fillId="0" borderId="62" xfId="0" applyNumberFormat="1" applyFont="1" applyFill="1" applyBorder="1" applyAlignment="1">
      <alignment horizontal="right" wrapText="1"/>
    </xf>
    <xf numFmtId="3" fontId="11" fillId="0" borderId="37" xfId="0" applyNumberFormat="1" applyFont="1" applyFill="1" applyBorder="1" applyAlignment="1">
      <alignment horizontal="center" vertical="top" wrapText="1"/>
    </xf>
    <xf numFmtId="0" fontId="11" fillId="0" borderId="39" xfId="0" applyFont="1" applyFill="1" applyBorder="1" applyAlignment="1">
      <alignment wrapText="1"/>
    </xf>
    <xf numFmtId="0" fontId="11" fillId="0" borderId="41" xfId="0" applyFont="1" applyFill="1" applyBorder="1" applyAlignment="1">
      <alignment wrapText="1"/>
    </xf>
    <xf numFmtId="0" fontId="11" fillId="0" borderId="6" xfId="0" applyFont="1" applyFill="1" applyBorder="1" applyAlignment="1">
      <alignment wrapText="1"/>
    </xf>
    <xf numFmtId="43" fontId="11" fillId="0" borderId="34" xfId="2" applyFont="1" applyFill="1" applyBorder="1" applyAlignment="1">
      <alignment wrapText="1"/>
    </xf>
    <xf numFmtId="43" fontId="11" fillId="0" borderId="5" xfId="2" applyFont="1" applyFill="1" applyBorder="1" applyAlignment="1">
      <alignment wrapText="1"/>
    </xf>
    <xf numFmtId="0" fontId="9" fillId="0" borderId="0" xfId="0" applyFont="1"/>
    <xf numFmtId="49" fontId="5" fillId="0" borderId="0" xfId="0" applyNumberFormat="1" applyFont="1"/>
    <xf numFmtId="0" fontId="3" fillId="0" borderId="0" xfId="0" applyFont="1" applyFill="1" applyBorder="1" applyAlignment="1">
      <alignment horizontal="center" vertical="center" wrapText="1"/>
    </xf>
    <xf numFmtId="0" fontId="2" fillId="0" borderId="0" xfId="0" applyFont="1" applyFill="1" applyBorder="1" applyAlignment="1">
      <alignment vertical="top" wrapText="1"/>
    </xf>
    <xf numFmtId="43" fontId="22" fillId="0" borderId="0" xfId="0" applyNumberFormat="1" applyFont="1" applyFill="1" applyBorder="1" applyAlignment="1">
      <alignment vertical="top" wrapText="1"/>
    </xf>
    <xf numFmtId="0" fontId="3" fillId="0" borderId="0" xfId="0" applyFont="1" applyFill="1" applyBorder="1" applyAlignment="1">
      <alignment vertical="top" wrapText="1"/>
    </xf>
    <xf numFmtId="43" fontId="16" fillId="0" borderId="0" xfId="0" applyNumberFormat="1" applyFont="1" applyFill="1" applyBorder="1" applyAlignment="1">
      <alignment vertical="top" wrapText="1"/>
    </xf>
    <xf numFmtId="43" fontId="22" fillId="0" borderId="0" xfId="0" applyNumberFormat="1" applyFont="1" applyFill="1" applyBorder="1" applyAlignment="1">
      <alignment horizontal="right" vertical="top" wrapText="1"/>
    </xf>
    <xf numFmtId="0" fontId="5" fillId="0" borderId="0" xfId="0" applyFont="1" applyFill="1" applyBorder="1" applyAlignment="1">
      <alignment horizontal="center" vertical="center"/>
    </xf>
    <xf numFmtId="0" fontId="5" fillId="0" borderId="37" xfId="0" applyFont="1" applyFill="1" applyBorder="1" applyAlignment="1">
      <alignment vertical="top" wrapText="1"/>
    </xf>
    <xf numFmtId="43" fontId="5" fillId="0" borderId="36" xfId="2" applyFont="1" applyFill="1" applyBorder="1" applyAlignment="1">
      <alignment vertical="top" wrapText="1"/>
    </xf>
    <xf numFmtId="43" fontId="5" fillId="0" borderId="0" xfId="2" applyFont="1" applyFill="1"/>
    <xf numFmtId="43" fontId="5" fillId="0" borderId="0" xfId="2" applyFont="1" applyFill="1" applyAlignment="1">
      <alignment vertical="top" wrapText="1"/>
    </xf>
    <xf numFmtId="0" fontId="5" fillId="0" borderId="4" xfId="0" applyFont="1" applyBorder="1" applyAlignment="1">
      <alignment horizontal="justify" vertical="top" wrapText="1"/>
    </xf>
    <xf numFmtId="43" fontId="24" fillId="0" borderId="4" xfId="2" applyFont="1" applyBorder="1" applyAlignment="1">
      <alignment vertical="top" wrapText="1"/>
    </xf>
    <xf numFmtId="0" fontId="24" fillId="0" borderId="4" xfId="0" applyFont="1" applyBorder="1" applyAlignment="1">
      <alignment vertical="top" wrapText="1"/>
    </xf>
    <xf numFmtId="4" fontId="24" fillId="0" borderId="4" xfId="0" applyNumberFormat="1" applyFont="1" applyBorder="1" applyAlignment="1">
      <alignment vertical="top" wrapText="1"/>
    </xf>
    <xf numFmtId="0" fontId="9" fillId="0" borderId="0" xfId="0" applyFont="1" applyFill="1" applyAlignment="1">
      <alignment wrapText="1"/>
    </xf>
    <xf numFmtId="0" fontId="9" fillId="0" borderId="34" xfId="0" applyFont="1" applyFill="1" applyBorder="1" applyAlignment="1">
      <alignment horizontal="center" wrapText="1"/>
    </xf>
    <xf numFmtId="0" fontId="9" fillId="0" borderId="0" xfId="0" applyFont="1" applyFill="1" applyBorder="1" applyAlignment="1">
      <alignment horizontal="center" wrapText="1"/>
    </xf>
    <xf numFmtId="0" fontId="5" fillId="0" borderId="5" xfId="0" applyFont="1" applyFill="1" applyBorder="1" applyAlignment="1">
      <alignment horizontal="justify" vertical="top" wrapText="1"/>
    </xf>
    <xf numFmtId="0" fontId="5" fillId="0" borderId="0" xfId="0" applyFont="1" applyFill="1" applyAlignment="1">
      <alignment horizontal="justify" vertical="top" wrapText="1"/>
    </xf>
    <xf numFmtId="0" fontId="5" fillId="0" borderId="4" xfId="0" applyFont="1" applyFill="1" applyBorder="1" applyAlignment="1">
      <alignment horizontal="justify" vertical="top" wrapText="1"/>
    </xf>
    <xf numFmtId="0" fontId="9" fillId="0" borderId="0" xfId="0" applyFont="1" applyAlignment="1">
      <alignment horizontal="justify"/>
    </xf>
    <xf numFmtId="6" fontId="5" fillId="0" borderId="0" xfId="0" applyNumberFormat="1" applyFont="1"/>
    <xf numFmtId="0" fontId="9" fillId="8" borderId="45" xfId="0" applyFont="1" applyFill="1" applyBorder="1" applyAlignment="1">
      <alignment horizontal="center" vertical="top" wrapText="1"/>
    </xf>
    <xf numFmtId="0" fontId="9" fillId="8" borderId="48" xfId="0" applyFont="1" applyFill="1" applyBorder="1" applyAlignment="1">
      <alignment horizontal="center" vertical="top" wrapText="1"/>
    </xf>
    <xf numFmtId="3" fontId="5" fillId="0" borderId="77" xfId="0" applyNumberFormat="1" applyFont="1" applyBorder="1" applyAlignment="1">
      <alignment horizontal="justify" vertical="top" wrapText="1"/>
    </xf>
    <xf numFmtId="0" fontId="5" fillId="0" borderId="77" xfId="0" applyFont="1" applyBorder="1" applyAlignment="1">
      <alignment horizontal="justify" vertical="top" wrapText="1"/>
    </xf>
    <xf numFmtId="14" fontId="5" fillId="0" borderId="77" xfId="0" applyNumberFormat="1" applyFont="1" applyBorder="1" applyAlignment="1">
      <alignment horizontal="center" vertical="top" wrapText="1"/>
    </xf>
    <xf numFmtId="4" fontId="5" fillId="0" borderId="73" xfId="0" applyNumberFormat="1" applyFont="1" applyBorder="1" applyAlignment="1">
      <alignment horizontal="right" vertical="top" wrapText="1"/>
    </xf>
    <xf numFmtId="43" fontId="5" fillId="0" borderId="73" xfId="2" applyFont="1" applyBorder="1" applyAlignment="1">
      <alignment horizontal="right" vertical="top" wrapText="1"/>
    </xf>
    <xf numFmtId="0" fontId="9" fillId="8" borderId="77" xfId="0" applyFont="1" applyFill="1" applyBorder="1" applyAlignment="1">
      <alignment horizontal="justify" vertical="top" wrapText="1"/>
    </xf>
    <xf numFmtId="4" fontId="9" fillId="8" borderId="73" xfId="0" applyNumberFormat="1" applyFont="1" applyFill="1" applyBorder="1" applyAlignment="1">
      <alignment horizontal="right" vertical="top" wrapText="1"/>
    </xf>
    <xf numFmtId="0" fontId="5" fillId="0" borderId="0" xfId="0" applyFont="1" applyAlignment="1">
      <alignment horizontal="justify"/>
    </xf>
    <xf numFmtId="0" fontId="5" fillId="0" borderId="0" xfId="0" applyFont="1" applyAlignment="1">
      <alignment wrapText="1"/>
    </xf>
    <xf numFmtId="0" fontId="7" fillId="2" borderId="36" xfId="0" applyFont="1" applyFill="1" applyBorder="1"/>
    <xf numFmtId="0" fontId="7" fillId="2" borderId="37" xfId="0" applyFont="1" applyFill="1" applyBorder="1" applyAlignment="1">
      <alignment horizontal="center"/>
    </xf>
    <xf numFmtId="38" fontId="30" fillId="2" borderId="27" xfId="0" applyNumberFormat="1" applyFont="1" applyFill="1" applyBorder="1"/>
    <xf numFmtId="38" fontId="30" fillId="2" borderId="37" xfId="0" applyNumberFormat="1" applyFont="1" applyFill="1" applyBorder="1"/>
    <xf numFmtId="10" fontId="30" fillId="2" borderId="36" xfId="0" applyNumberFormat="1" applyFont="1" applyFill="1" applyBorder="1"/>
    <xf numFmtId="10" fontId="30" fillId="2" borderId="27" xfId="0" applyNumberFormat="1" applyFont="1" applyFill="1" applyBorder="1"/>
    <xf numFmtId="10" fontId="30" fillId="2" borderId="4" xfId="0" applyNumberFormat="1" applyFont="1" applyFill="1" applyBorder="1"/>
    <xf numFmtId="0" fontId="30" fillId="2" borderId="4" xfId="0" applyFont="1" applyFill="1" applyBorder="1"/>
    <xf numFmtId="38" fontId="30" fillId="2" borderId="4" xfId="0" applyNumberFormat="1" applyFont="1" applyFill="1" applyBorder="1"/>
    <xf numFmtId="10" fontId="30" fillId="2" borderId="6" xfId="0" applyNumberFormat="1" applyFont="1" applyFill="1" applyBorder="1"/>
    <xf numFmtId="0" fontId="30" fillId="2" borderId="40" xfId="0" applyFont="1" applyFill="1" applyBorder="1"/>
    <xf numFmtId="38" fontId="30" fillId="2" borderId="6" xfId="0" applyNumberFormat="1" applyFont="1" applyFill="1" applyBorder="1"/>
    <xf numFmtId="38" fontId="30" fillId="2" borderId="36" xfId="0" applyNumberFormat="1" applyFont="1" applyFill="1" applyBorder="1"/>
    <xf numFmtId="43" fontId="31" fillId="0" borderId="34" xfId="2" applyFont="1" applyFill="1" applyBorder="1"/>
    <xf numFmtId="43" fontId="31" fillId="2" borderId="34" xfId="2" applyFont="1" applyFill="1" applyBorder="1"/>
    <xf numFmtId="43" fontId="31" fillId="2" borderId="38" xfId="0" applyNumberFormat="1" applyFont="1" applyFill="1" applyBorder="1"/>
    <xf numFmtId="43" fontId="30" fillId="0" borderId="40" xfId="2" applyFont="1" applyFill="1" applyBorder="1"/>
    <xf numFmtId="43" fontId="30" fillId="2" borderId="40" xfId="2" applyFont="1" applyFill="1" applyBorder="1"/>
    <xf numFmtId="43" fontId="31" fillId="2" borderId="40" xfId="0" applyNumberFormat="1" applyFont="1" applyFill="1" applyBorder="1"/>
    <xf numFmtId="43" fontId="7" fillId="0" borderId="34" xfId="2" applyFont="1" applyFill="1" applyBorder="1"/>
    <xf numFmtId="43" fontId="7" fillId="2" borderId="34" xfId="2" applyFont="1" applyFill="1" applyBorder="1"/>
    <xf numFmtId="0" fontId="30" fillId="2" borderId="41" xfId="0" applyFont="1" applyFill="1" applyBorder="1"/>
    <xf numFmtId="0" fontId="30" fillId="2" borderId="34" xfId="0" applyFont="1" applyFill="1" applyBorder="1"/>
    <xf numFmtId="43" fontId="30" fillId="0" borderId="34" xfId="2" applyFont="1" applyFill="1" applyBorder="1"/>
    <xf numFmtId="43" fontId="30" fillId="2" borderId="34" xfId="2" applyFont="1" applyFill="1" applyBorder="1"/>
    <xf numFmtId="0" fontId="31" fillId="2" borderId="34" xfId="0" applyFont="1" applyFill="1" applyBorder="1"/>
    <xf numFmtId="43" fontId="31" fillId="0" borderId="40" xfId="2" applyFont="1" applyFill="1" applyBorder="1"/>
    <xf numFmtId="43" fontId="31" fillId="2" borderId="40" xfId="2" applyFont="1" applyFill="1" applyBorder="1"/>
    <xf numFmtId="0" fontId="31" fillId="2" borderId="41" xfId="0" applyFont="1" applyFill="1" applyBorder="1"/>
    <xf numFmtId="43" fontId="31" fillId="2" borderId="11" xfId="0" applyNumberFormat="1" applyFont="1" applyFill="1" applyBorder="1"/>
    <xf numFmtId="43" fontId="31" fillId="2" borderId="37" xfId="2" applyFont="1" applyFill="1" applyBorder="1"/>
    <xf numFmtId="43" fontId="31" fillId="2" borderId="4" xfId="0" applyNumberFormat="1" applyFont="1" applyFill="1" applyBorder="1"/>
    <xf numFmtId="43" fontId="19" fillId="2" borderId="4" xfId="0" applyNumberFormat="1" applyFont="1" applyFill="1" applyBorder="1"/>
    <xf numFmtId="0" fontId="8" fillId="0" borderId="0" xfId="0" applyFont="1" applyBorder="1"/>
    <xf numFmtId="0" fontId="7" fillId="0" borderId="45" xfId="0" applyFont="1" applyBorder="1" applyAlignment="1">
      <alignment horizontal="center"/>
    </xf>
    <xf numFmtId="0" fontId="7" fillId="0" borderId="47" xfId="0" applyFont="1" applyBorder="1" applyAlignment="1">
      <alignment horizontal="center" vertical="center"/>
    </xf>
    <xf numFmtId="49" fontId="7" fillId="0" borderId="47"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7" fillId="0" borderId="45" xfId="0" applyNumberFormat="1" applyFont="1" applyBorder="1" applyAlignment="1">
      <alignment horizontal="center" vertical="center"/>
    </xf>
    <xf numFmtId="0" fontId="7" fillId="0" borderId="32" xfId="0" applyFont="1" applyBorder="1"/>
    <xf numFmtId="164" fontId="0" fillId="0" borderId="32" xfId="2" applyNumberFormat="1" applyFont="1" applyBorder="1"/>
    <xf numFmtId="164" fontId="0" fillId="0" borderId="83" xfId="2" applyNumberFormat="1" applyFont="1" applyBorder="1"/>
    <xf numFmtId="0" fontId="8" fillId="0" borderId="47" xfId="0" applyFont="1" applyFill="1" applyBorder="1"/>
    <xf numFmtId="164" fontId="0" fillId="0" borderId="44" xfId="2" applyNumberFormat="1" applyFont="1" applyBorder="1"/>
    <xf numFmtId="0" fontId="8" fillId="0" borderId="72" xfId="0" applyFont="1" applyFill="1" applyBorder="1"/>
    <xf numFmtId="164" fontId="0" fillId="0" borderId="33" xfId="2" applyNumberFormat="1" applyFont="1" applyBorder="1"/>
    <xf numFmtId="0" fontId="32" fillId="0" borderId="0" xfId="0" applyFont="1" applyFill="1" applyBorder="1" applyAlignment="1">
      <alignment horizontal="left" vertical="top" wrapText="1" indent="1"/>
    </xf>
    <xf numFmtId="0" fontId="27" fillId="0" borderId="0" xfId="0" applyFont="1" applyAlignment="1">
      <alignment horizontal="left"/>
    </xf>
    <xf numFmtId="0" fontId="28" fillId="0" borderId="0" xfId="0" applyFont="1" applyAlignment="1"/>
    <xf numFmtId="0" fontId="5" fillId="0" borderId="5" xfId="0" applyNumberFormat="1" applyFont="1" applyFill="1" applyBorder="1" applyAlignment="1">
      <alignment horizontal="center"/>
    </xf>
    <xf numFmtId="43" fontId="5" fillId="0" borderId="0" xfId="2" applyFont="1" applyFill="1" applyAlignment="1">
      <alignment horizontal="center" vertical="top" wrapText="1"/>
    </xf>
    <xf numFmtId="0" fontId="9" fillId="0" borderId="0" xfId="0" applyFont="1" applyFill="1" applyBorder="1" applyAlignment="1">
      <alignment horizontal="justify" vertical="top" wrapText="1"/>
    </xf>
    <xf numFmtId="4" fontId="9" fillId="0" borderId="0" xfId="0" applyNumberFormat="1" applyFont="1" applyFill="1" applyBorder="1" applyAlignment="1">
      <alignment horizontal="right" vertical="top" wrapText="1"/>
    </xf>
    <xf numFmtId="43" fontId="1" fillId="0" borderId="40" xfId="2" applyFont="1" applyFill="1" applyBorder="1"/>
    <xf numFmtId="0" fontId="35" fillId="0" borderId="0" xfId="0" applyFont="1" applyAlignment="1">
      <alignment horizontal="justify"/>
    </xf>
    <xf numFmtId="0" fontId="1" fillId="0" borderId="0" xfId="0" applyFont="1"/>
    <xf numFmtId="0" fontId="35" fillId="0" borderId="0" xfId="0" applyFont="1"/>
    <xf numFmtId="0" fontId="15" fillId="0" borderId="0" xfId="0" applyFont="1"/>
    <xf numFmtId="168" fontId="6" fillId="0" borderId="0" xfId="2" applyNumberFormat="1" applyFont="1" applyFill="1" applyBorder="1" applyAlignment="1"/>
    <xf numFmtId="167" fontId="6" fillId="0" borderId="0" xfId="2" applyNumberFormat="1" applyFont="1" applyFill="1" applyBorder="1" applyAlignment="1"/>
    <xf numFmtId="43" fontId="9" fillId="0" borderId="34" xfId="0" applyNumberFormat="1" applyFont="1" applyFill="1" applyBorder="1" applyAlignment="1">
      <alignment vertical="top" wrapText="1"/>
    </xf>
    <xf numFmtId="0" fontId="1" fillId="0" borderId="0" xfId="0" applyFont="1" applyFill="1"/>
    <xf numFmtId="0" fontId="7" fillId="0" borderId="45" xfId="0" applyFont="1" applyBorder="1" applyAlignment="1">
      <alignment horizontal="center"/>
    </xf>
    <xf numFmtId="0" fontId="12" fillId="2" borderId="44" xfId="4" applyFont="1" applyFill="1" applyBorder="1" applyAlignment="1">
      <alignment horizontal="center" vertical="top" wrapText="1"/>
    </xf>
    <xf numFmtId="0" fontId="12" fillId="2" borderId="44" xfId="4" applyFont="1" applyFill="1" applyBorder="1" applyAlignment="1">
      <alignment horizontal="center" vertical="center" wrapText="1"/>
    </xf>
    <xf numFmtId="0" fontId="2" fillId="2" borderId="90" xfId="4" applyFont="1" applyFill="1" applyBorder="1" applyAlignment="1">
      <alignment horizontal="center" vertical="center" wrapText="1"/>
    </xf>
    <xf numFmtId="0" fontId="12" fillId="0" borderId="4" xfId="4" applyFont="1" applyBorder="1" applyAlignment="1">
      <alignment horizontal="justify" vertical="top" wrapText="1"/>
    </xf>
    <xf numFmtId="0" fontId="12" fillId="0" borderId="11" xfId="4" applyFont="1" applyBorder="1" applyAlignment="1">
      <alignment horizontal="justify" vertical="top" wrapText="1"/>
    </xf>
    <xf numFmtId="0" fontId="11" fillId="0" borderId="43" xfId="4" applyFont="1" applyBorder="1"/>
    <xf numFmtId="0" fontId="11" fillId="4" borderId="4" xfId="4" applyFont="1" applyFill="1" applyBorder="1"/>
    <xf numFmtId="0" fontId="11" fillId="0" borderId="4" xfId="4" applyFont="1" applyBorder="1" applyAlignment="1">
      <alignment horizontal="justify" vertical="top" wrapText="1"/>
    </xf>
    <xf numFmtId="43" fontId="12" fillId="0" borderId="4" xfId="5" applyFont="1" applyBorder="1" applyAlignment="1">
      <alignment horizontal="justify" vertical="top" wrapText="1"/>
    </xf>
    <xf numFmtId="0" fontId="12" fillId="0" borderId="36" xfId="4" applyFont="1" applyBorder="1" applyAlignment="1">
      <alignment horizontal="justify" vertical="top" wrapText="1"/>
    </xf>
    <xf numFmtId="43" fontId="11" fillId="0" borderId="4" xfId="5" applyFont="1" applyBorder="1" applyAlignment="1">
      <alignment horizontal="justify" vertical="top" wrapText="1"/>
    </xf>
    <xf numFmtId="0" fontId="11" fillId="0" borderId="36" xfId="4" applyFont="1" applyBorder="1" applyAlignment="1">
      <alignment horizontal="justify" vertical="top" wrapText="1"/>
    </xf>
    <xf numFmtId="0" fontId="11" fillId="0" borderId="4" xfId="4" applyFont="1" applyBorder="1"/>
    <xf numFmtId="0" fontId="11" fillId="0" borderId="36" xfId="4" applyFont="1" applyBorder="1"/>
    <xf numFmtId="2" fontId="11" fillId="0" borderId="4" xfId="4" applyNumberFormat="1" applyFont="1" applyBorder="1" applyAlignment="1">
      <alignment horizontal="right" vertical="top" wrapText="1"/>
    </xf>
    <xf numFmtId="2" fontId="11" fillId="0" borderId="37" xfId="4" applyNumberFormat="1" applyFont="1" applyBorder="1" applyAlignment="1">
      <alignment horizontal="right" vertical="top" wrapText="1"/>
    </xf>
    <xf numFmtId="0" fontId="11" fillId="0" borderId="37" xfId="4" applyFont="1" applyBorder="1" applyAlignment="1">
      <alignment horizontal="justify" vertical="top" wrapText="1"/>
    </xf>
    <xf numFmtId="43" fontId="11" fillId="0" borderId="37" xfId="5" applyFont="1" applyBorder="1" applyAlignment="1">
      <alignment horizontal="justify" vertical="top" wrapText="1"/>
    </xf>
    <xf numFmtId="0" fontId="5" fillId="0" borderId="4" xfId="4" applyFont="1" applyBorder="1"/>
    <xf numFmtId="0" fontId="11" fillId="0" borderId="37" xfId="4" applyFont="1" applyBorder="1" applyAlignment="1">
      <alignment horizontal="right" vertical="top" wrapText="1"/>
    </xf>
    <xf numFmtId="0" fontId="12" fillId="9" borderId="4" xfId="4" applyFont="1" applyFill="1" applyBorder="1" applyAlignment="1">
      <alignment horizontal="center"/>
    </xf>
    <xf numFmtId="0" fontId="11" fillId="2" borderId="36" xfId="4" applyFont="1" applyFill="1" applyBorder="1" applyAlignment="1">
      <alignment horizontal="center"/>
    </xf>
    <xf numFmtId="43" fontId="11" fillId="2" borderId="37" xfId="4" applyNumberFormat="1" applyFont="1" applyFill="1" applyBorder="1" applyAlignment="1">
      <alignment horizontal="center"/>
    </xf>
    <xf numFmtId="43" fontId="11" fillId="2" borderId="27" xfId="4" applyNumberFormat="1" applyFont="1" applyFill="1" applyBorder="1" applyAlignment="1">
      <alignment horizontal="center"/>
    </xf>
    <xf numFmtId="0" fontId="5" fillId="0" borderId="0" xfId="4" applyFont="1"/>
    <xf numFmtId="0" fontId="1" fillId="0" borderId="0" xfId="4"/>
    <xf numFmtId="0" fontId="5" fillId="0" borderId="0" xfId="4" applyFont="1" applyFill="1"/>
    <xf numFmtId="49" fontId="1" fillId="2" borderId="41" xfId="0" applyNumberFormat="1" applyFont="1" applyFill="1" applyBorder="1" applyAlignment="1">
      <alignment horizontal="right"/>
    </xf>
    <xf numFmtId="0" fontId="1" fillId="2" borderId="34" xfId="0" applyFont="1" applyFill="1" applyBorder="1"/>
    <xf numFmtId="0" fontId="1" fillId="2" borderId="41" xfId="0" applyFont="1" applyFill="1" applyBorder="1"/>
    <xf numFmtId="38" fontId="1" fillId="2" borderId="34" xfId="0" applyNumberFormat="1" applyFont="1" applyFill="1" applyBorder="1"/>
    <xf numFmtId="0" fontId="31" fillId="2" borderId="40" xfId="0" applyFont="1" applyFill="1" applyBorder="1"/>
    <xf numFmtId="0" fontId="31" fillId="2" borderId="43" xfId="0" applyFont="1" applyFill="1" applyBorder="1"/>
    <xf numFmtId="0" fontId="31" fillId="2" borderId="5" xfId="0" applyFont="1" applyFill="1" applyBorder="1"/>
    <xf numFmtId="10" fontId="30" fillId="2" borderId="43" xfId="0" applyNumberFormat="1" applyFont="1" applyFill="1" applyBorder="1"/>
    <xf numFmtId="43" fontId="11" fillId="0" borderId="52" xfId="2" applyNumberFormat="1" applyFont="1" applyFill="1" applyBorder="1" applyAlignment="1"/>
    <xf numFmtId="170" fontId="6" fillId="0" borderId="0" xfId="1" applyNumberFormat="1" applyFont="1" applyFill="1" applyBorder="1" applyAlignment="1"/>
    <xf numFmtId="43" fontId="5" fillId="0" borderId="38" xfId="2" applyFont="1" applyFill="1" applyBorder="1" applyAlignment="1">
      <alignment wrapText="1"/>
    </xf>
    <xf numFmtId="43" fontId="5" fillId="0" borderId="40" xfId="2" applyFont="1" applyFill="1" applyBorder="1" applyAlignment="1">
      <alignment wrapText="1"/>
    </xf>
    <xf numFmtId="43" fontId="5" fillId="0" borderId="11" xfId="2" applyFont="1" applyFill="1" applyBorder="1" applyAlignment="1">
      <alignment wrapText="1"/>
    </xf>
    <xf numFmtId="14" fontId="29" fillId="0" borderId="77" xfId="0" applyNumberFormat="1" applyFont="1" applyBorder="1" applyAlignment="1">
      <alignment horizontal="center" vertical="top" wrapText="1"/>
    </xf>
    <xf numFmtId="4" fontId="29" fillId="0" borderId="73" xfId="0" applyNumberFormat="1" applyFont="1" applyBorder="1" applyAlignment="1">
      <alignment horizontal="right" vertical="top" wrapText="1"/>
    </xf>
    <xf numFmtId="3" fontId="36" fillId="0" borderId="0" xfId="0" applyNumberFormat="1" applyFont="1" applyBorder="1" applyAlignment="1">
      <alignment horizontal="center" wrapText="1"/>
    </xf>
    <xf numFmtId="0" fontId="5" fillId="0" borderId="0" xfId="0" applyFont="1" applyFill="1" applyBorder="1" applyAlignment="1">
      <alignment horizontal="left" wrapText="1"/>
    </xf>
    <xf numFmtId="0" fontId="7" fillId="2" borderId="39" xfId="0" applyFont="1" applyFill="1" applyBorder="1" applyAlignment="1">
      <alignment horizontal="left"/>
    </xf>
    <xf numFmtId="0" fontId="7" fillId="2" borderId="42" xfId="0" applyFont="1" applyFill="1" applyBorder="1" applyAlignment="1">
      <alignment horizontal="left"/>
    </xf>
    <xf numFmtId="0" fontId="7" fillId="2" borderId="43" xfId="0" applyFont="1" applyFill="1" applyBorder="1" applyAlignment="1">
      <alignment horizontal="left"/>
    </xf>
    <xf numFmtId="0" fontId="7" fillId="2" borderId="5" xfId="0" applyFont="1" applyFill="1" applyBorder="1" applyAlignment="1">
      <alignment horizontal="left"/>
    </xf>
    <xf numFmtId="0" fontId="5" fillId="0" borderId="0" xfId="0" applyFont="1" applyAlignment="1">
      <alignment horizontal="center"/>
    </xf>
    <xf numFmtId="0" fontId="9" fillId="0" borderId="0" xfId="0" applyFont="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7" fillId="0" borderId="45" xfId="0" applyFont="1" applyBorder="1" applyAlignment="1">
      <alignment horizontal="center"/>
    </xf>
    <xf numFmtId="49" fontId="7" fillId="2" borderId="41" xfId="0" applyNumberFormat="1" applyFont="1" applyFill="1" applyBorder="1" applyAlignment="1">
      <alignment horizontal="left"/>
    </xf>
    <xf numFmtId="49" fontId="7" fillId="2" borderId="34" xfId="0" applyNumberFormat="1" applyFont="1" applyFill="1" applyBorder="1" applyAlignment="1">
      <alignment horizontal="left"/>
    </xf>
    <xf numFmtId="0" fontId="31" fillId="2" borderId="41" xfId="0" applyFont="1" applyFill="1" applyBorder="1" applyAlignment="1">
      <alignment horizontal="left"/>
    </xf>
    <xf numFmtId="0" fontId="31" fillId="2" borderId="34" xfId="0" applyFont="1" applyFill="1" applyBorder="1" applyAlignment="1">
      <alignment horizontal="left"/>
    </xf>
    <xf numFmtId="0" fontId="10" fillId="0" borderId="0" xfId="0" applyFont="1" applyAlignment="1">
      <alignment horizontal="center"/>
    </xf>
    <xf numFmtId="3" fontId="10" fillId="0" borderId="0" xfId="0" applyNumberFormat="1" applyFont="1" applyAlignment="1">
      <alignment horizontal="center"/>
    </xf>
    <xf numFmtId="0" fontId="7" fillId="0" borderId="0" xfId="0" applyFont="1" applyAlignment="1">
      <alignment horizontal="center"/>
    </xf>
    <xf numFmtId="0" fontId="7" fillId="0" borderId="78" xfId="0" applyFont="1" applyBorder="1" applyAlignment="1">
      <alignment horizontal="center"/>
    </xf>
    <xf numFmtId="0" fontId="0" fillId="0" borderId="0" xfId="0" applyAlignment="1">
      <alignment horizontal="center"/>
    </xf>
    <xf numFmtId="0" fontId="0" fillId="0" borderId="78" xfId="0" applyBorder="1" applyAlignment="1">
      <alignment horizontal="center"/>
    </xf>
    <xf numFmtId="0" fontId="12" fillId="0" borderId="0" xfId="0" applyFont="1" applyAlignment="1">
      <alignment horizontal="center"/>
    </xf>
    <xf numFmtId="3" fontId="12" fillId="0" borderId="0" xfId="0" applyNumberFormat="1" applyFont="1" applyAlignment="1">
      <alignment horizontal="center"/>
    </xf>
    <xf numFmtId="0" fontId="25" fillId="0" borderId="47" xfId="0" applyFont="1" applyFill="1" applyBorder="1" applyAlignment="1">
      <alignment horizontal="left" wrapText="1"/>
    </xf>
    <xf numFmtId="0" fontId="25" fillId="0" borderId="48" xfId="0" applyFont="1" applyFill="1" applyBorder="1" applyAlignment="1">
      <alignment horizontal="left" wrapText="1"/>
    </xf>
    <xf numFmtId="0" fontId="25" fillId="0" borderId="45" xfId="0" applyFont="1" applyFill="1" applyBorder="1" applyAlignment="1">
      <alignment horizontal="left" wrapText="1"/>
    </xf>
    <xf numFmtId="0" fontId="12" fillId="0" borderId="61" xfId="0" applyFont="1" applyFill="1" applyBorder="1" applyAlignment="1">
      <alignment horizontal="left"/>
    </xf>
    <xf numFmtId="0" fontId="5" fillId="0" borderId="62" xfId="0" applyFont="1" applyFill="1" applyBorder="1" applyAlignment="1">
      <alignment wrapText="1"/>
    </xf>
    <xf numFmtId="8" fontId="12" fillId="0" borderId="62" xfId="0" applyNumberFormat="1" applyFont="1" applyFill="1" applyBorder="1" applyAlignment="1">
      <alignment horizontal="right" wrapText="1"/>
    </xf>
    <xf numFmtId="0" fontId="12" fillId="0" borderId="62" xfId="0" applyFont="1" applyFill="1" applyBorder="1" applyAlignment="1">
      <alignment horizontal="right" wrapText="1"/>
    </xf>
    <xf numFmtId="0" fontId="9" fillId="0" borderId="4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5" xfId="0" applyFont="1" applyFill="1" applyBorder="1" applyAlignment="1">
      <alignment horizontal="center" vertical="center" wrapText="1"/>
    </xf>
    <xf numFmtId="3" fontId="9" fillId="0" borderId="36" xfId="0" applyNumberFormat="1"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1"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3" fontId="9" fillId="0" borderId="79" xfId="0" applyNumberFormat="1" applyFont="1" applyFill="1" applyBorder="1" applyAlignment="1">
      <alignment horizontal="center"/>
    </xf>
    <xf numFmtId="0" fontId="9" fillId="0" borderId="80" xfId="0" applyFont="1" applyFill="1" applyBorder="1" applyAlignment="1">
      <alignment horizontal="center"/>
    </xf>
    <xf numFmtId="0" fontId="9" fillId="0" borderId="81" xfId="0" applyFont="1" applyFill="1" applyBorder="1" applyAlignment="1">
      <alignment horizontal="center"/>
    </xf>
    <xf numFmtId="0" fontId="3" fillId="0" borderId="0" xfId="0" applyFont="1" applyFill="1" applyBorder="1" applyAlignment="1">
      <alignment horizontal="center"/>
    </xf>
    <xf numFmtId="0" fontId="12" fillId="0" borderId="74" xfId="0" applyFont="1" applyFill="1" applyBorder="1" applyAlignment="1">
      <alignment horizontal="center" vertical="center"/>
    </xf>
    <xf numFmtId="0" fontId="12" fillId="0" borderId="0" xfId="0" applyFont="1" applyFill="1" applyAlignment="1">
      <alignment horizontal="center" vertical="center"/>
    </xf>
    <xf numFmtId="3"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80" xfId="0" applyFont="1" applyFill="1" applyBorder="1" applyAlignment="1">
      <alignment horizontal="center"/>
    </xf>
    <xf numFmtId="0" fontId="11" fillId="0" borderId="0" xfId="0" applyNumberFormat="1" applyFont="1" applyAlignment="1">
      <alignment horizontal="left" vertical="center" wrapText="1"/>
    </xf>
    <xf numFmtId="0" fontId="11" fillId="0" borderId="0" xfId="0" applyNumberFormat="1" applyFont="1" applyAlignment="1">
      <alignment horizontal="left" wrapText="1"/>
    </xf>
    <xf numFmtId="0" fontId="12" fillId="0" borderId="1" xfId="0" applyFont="1" applyFill="1" applyBorder="1" applyAlignment="1">
      <alignment horizontal="center"/>
    </xf>
    <xf numFmtId="0" fontId="12" fillId="0" borderId="2" xfId="0" applyFont="1" applyFill="1" applyBorder="1" applyAlignment="1">
      <alignment horizontal="center"/>
    </xf>
    <xf numFmtId="0" fontId="9" fillId="0" borderId="0" xfId="0" applyFont="1" applyAlignment="1" applyProtection="1">
      <alignment horizontal="center"/>
      <protection locked="0"/>
    </xf>
    <xf numFmtId="0" fontId="5" fillId="0" borderId="0" xfId="0" applyNumberFormat="1" applyFont="1" applyFill="1" applyBorder="1" applyAlignment="1">
      <alignment horizontal="left" vertical="top" wrapText="1"/>
    </xf>
    <xf numFmtId="0" fontId="11" fillId="0" borderId="3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2" fillId="0" borderId="82" xfId="0" applyFont="1" applyFill="1" applyBorder="1" applyAlignment="1">
      <alignment horizontal="center"/>
    </xf>
    <xf numFmtId="0" fontId="12" fillId="0" borderId="0" xfId="0" applyFont="1" applyFill="1" applyAlignment="1">
      <alignment horizontal="center"/>
    </xf>
    <xf numFmtId="0" fontId="11" fillId="0" borderId="61" xfId="0" applyFont="1" applyFill="1" applyBorder="1" applyAlignment="1">
      <alignment horizontal="left"/>
    </xf>
    <xf numFmtId="0" fontId="11" fillId="0" borderId="4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0" borderId="36" xfId="0" applyNumberFormat="1" applyFont="1" applyFill="1" applyBorder="1" applyAlignment="1">
      <alignment horizontal="center"/>
    </xf>
    <xf numFmtId="0" fontId="5" fillId="0" borderId="27" xfId="0" applyNumberFormat="1" applyFont="1" applyFill="1" applyBorder="1" applyAlignment="1">
      <alignment horizontal="center"/>
    </xf>
    <xf numFmtId="0" fontId="5" fillId="0" borderId="39" xfId="0" applyNumberFormat="1" applyFont="1" applyFill="1" applyBorder="1" applyAlignment="1">
      <alignment horizontal="center"/>
    </xf>
    <xf numFmtId="0" fontId="5" fillId="0" borderId="6" xfId="0" applyFont="1" applyFill="1" applyBorder="1" applyAlignment="1">
      <alignment horizontal="left" vertical="top" wrapText="1"/>
    </xf>
    <xf numFmtId="0" fontId="5" fillId="0" borderId="6" xfId="0" applyFont="1" applyFill="1" applyBorder="1" applyAlignment="1"/>
    <xf numFmtId="0" fontId="9" fillId="0" borderId="0" xfId="0" applyNumberFormat="1" applyFont="1" applyFill="1" applyAlignment="1">
      <alignment horizontal="center"/>
    </xf>
    <xf numFmtId="0" fontId="9" fillId="0" borderId="82" xfId="0" applyFont="1" applyFill="1" applyBorder="1" applyAlignment="1">
      <alignment horizontal="center"/>
    </xf>
    <xf numFmtId="0" fontId="9" fillId="0" borderId="0" xfId="0" applyFont="1" applyFill="1" applyBorder="1" applyAlignment="1">
      <alignment horizontal="center"/>
    </xf>
    <xf numFmtId="3" fontId="9" fillId="0" borderId="0" xfId="0" applyNumberFormat="1" applyFont="1" applyFill="1" applyBorder="1" applyAlignment="1">
      <alignment horizontal="center"/>
    </xf>
    <xf numFmtId="0" fontId="1" fillId="0" borderId="0" xfId="2" applyNumberFormat="1" applyFont="1" applyAlignment="1">
      <alignment horizontal="left" wrapText="1"/>
    </xf>
    <xf numFmtId="0" fontId="8" fillId="0" borderId="0" xfId="2" applyNumberFormat="1" applyFont="1" applyAlignment="1">
      <alignment horizontal="left" wrapText="1"/>
    </xf>
    <xf numFmtId="0" fontId="5" fillId="0" borderId="0" xfId="0" applyFont="1" applyFill="1" applyBorder="1" applyAlignment="1">
      <alignment horizontal="left"/>
    </xf>
    <xf numFmtId="3" fontId="5" fillId="0" borderId="38" xfId="0" applyNumberFormat="1" applyFont="1" applyFill="1" applyBorder="1" applyAlignment="1">
      <alignment horizontal="center" vertical="center"/>
    </xf>
    <xf numFmtId="0" fontId="5" fillId="0" borderId="11" xfId="0" applyFont="1" applyBorder="1" applyAlignment="1"/>
    <xf numFmtId="0" fontId="5" fillId="0" borderId="38" xfId="0" applyFont="1" applyFill="1" applyBorder="1" applyAlignment="1">
      <alignment horizontal="center" vertical="center"/>
    </xf>
    <xf numFmtId="0" fontId="5" fillId="0" borderId="75" xfId="0" applyFont="1" applyFill="1" applyBorder="1" applyAlignment="1">
      <alignment wrapText="1"/>
    </xf>
    <xf numFmtId="0" fontId="5" fillId="0" borderId="76" xfId="0" applyFont="1" applyFill="1" applyBorder="1" applyAlignment="1">
      <alignment wrapText="1"/>
    </xf>
    <xf numFmtId="0" fontId="5" fillId="0" borderId="42" xfId="0" applyFont="1" applyFill="1" applyBorder="1" applyAlignment="1">
      <alignment horizontal="center" vertical="center"/>
    </xf>
    <xf numFmtId="0" fontId="5" fillId="0" borderId="5" xfId="0" applyFont="1" applyBorder="1" applyAlignment="1"/>
    <xf numFmtId="0" fontId="5" fillId="0" borderId="39" xfId="0" applyFont="1" applyFill="1" applyBorder="1" applyAlignment="1">
      <alignment horizontal="center" vertical="center"/>
    </xf>
    <xf numFmtId="0" fontId="5" fillId="0" borderId="43" xfId="0" applyFont="1" applyBorder="1" applyAlignment="1"/>
    <xf numFmtId="0" fontId="1" fillId="0" borderId="0" xfId="0" applyFont="1" applyAlignment="1">
      <alignment horizontal="left" wrapText="1"/>
    </xf>
    <xf numFmtId="0" fontId="8" fillId="0" borderId="0" xfId="0" applyFont="1" applyAlignment="1">
      <alignment horizontal="left" wrapText="1"/>
    </xf>
    <xf numFmtId="0" fontId="9" fillId="0" borderId="38" xfId="0" applyFont="1" applyFill="1" applyBorder="1" applyAlignment="1">
      <alignment horizontal="center" vertical="center" wrapText="1"/>
    </xf>
    <xf numFmtId="0" fontId="9" fillId="0" borderId="11" xfId="0" applyFont="1" applyBorder="1" applyAlignment="1"/>
    <xf numFmtId="0" fontId="9" fillId="0" borderId="42" xfId="0" applyFont="1" applyFill="1" applyBorder="1" applyAlignment="1">
      <alignment horizontal="center" vertical="center"/>
    </xf>
    <xf numFmtId="0" fontId="9" fillId="0" borderId="5" xfId="0" applyFont="1" applyBorder="1" applyAlignment="1"/>
    <xf numFmtId="0" fontId="5" fillId="0" borderId="27" xfId="0" applyFont="1" applyFill="1" applyBorder="1" applyAlignment="1">
      <alignment vertical="top" wrapText="1"/>
    </xf>
    <xf numFmtId="3" fontId="9" fillId="0" borderId="82" xfId="0" applyNumberFormat="1" applyFont="1" applyFill="1" applyBorder="1" applyAlignment="1">
      <alignment horizontal="center"/>
    </xf>
    <xf numFmtId="0" fontId="14" fillId="0" borderId="61" xfId="0" applyFont="1" applyFill="1" applyBorder="1" applyAlignment="1">
      <alignment horizontal="center" vertical="top" wrapText="1"/>
    </xf>
    <xf numFmtId="0" fontId="15" fillId="0" borderId="61" xfId="0" applyFont="1" applyBorder="1" applyAlignment="1">
      <alignment horizontal="center" vertical="top"/>
    </xf>
    <xf numFmtId="0" fontId="15" fillId="0" borderId="42" xfId="0" applyFont="1" applyBorder="1" applyAlignment="1">
      <alignment horizontal="center" vertical="top"/>
    </xf>
    <xf numFmtId="0" fontId="15" fillId="0" borderId="6" xfId="0" applyFont="1" applyBorder="1" applyAlignment="1">
      <alignment horizontal="center" vertical="top"/>
    </xf>
    <xf numFmtId="0" fontId="15" fillId="0" borderId="5" xfId="0" applyFont="1" applyBorder="1" applyAlignment="1">
      <alignment horizontal="center" vertical="top"/>
    </xf>
    <xf numFmtId="0" fontId="3" fillId="0" borderId="37"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4" xfId="0" applyFont="1" applyFill="1" applyBorder="1" applyAlignment="1">
      <alignment horizontal="left" vertical="top"/>
    </xf>
    <xf numFmtId="0" fontId="13" fillId="0" borderId="0" xfId="0" applyFont="1" applyFill="1" applyBorder="1" applyAlignment="1">
      <alignment horizontal="center"/>
    </xf>
    <xf numFmtId="0" fontId="7" fillId="0" borderId="0" xfId="0" applyFont="1" applyFill="1" applyBorder="1" applyAlignment="1">
      <alignment horizontal="center"/>
    </xf>
    <xf numFmtId="0" fontId="5" fillId="0" borderId="70" xfId="0" applyFont="1" applyFill="1" applyBorder="1" applyAlignment="1">
      <alignment horizontal="left" vertical="top" wrapText="1"/>
    </xf>
    <xf numFmtId="0" fontId="5" fillId="0" borderId="76" xfId="0" applyFont="1" applyFill="1" applyBorder="1" applyAlignment="1">
      <alignment horizontal="left" vertical="top" wrapText="1"/>
    </xf>
    <xf numFmtId="3" fontId="13" fillId="0" borderId="0" xfId="0" applyNumberFormat="1"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Border="1" applyAlignment="1"/>
    <xf numFmtId="0" fontId="7" fillId="0" borderId="34" xfId="0" applyFont="1" applyBorder="1" applyAlignment="1"/>
    <xf numFmtId="0" fontId="7" fillId="0" borderId="6" xfId="0" applyFont="1" applyBorder="1" applyAlignment="1"/>
    <xf numFmtId="0" fontId="7" fillId="0" borderId="5" xfId="0" applyFont="1" applyBorder="1" applyAlignment="1"/>
    <xf numFmtId="0" fontId="7" fillId="0" borderId="38" xfId="0" applyFont="1" applyFill="1" applyBorder="1" applyAlignment="1">
      <alignment horizontal="center" vertical="center"/>
    </xf>
    <xf numFmtId="0" fontId="7" fillId="0" borderId="11" xfId="0" applyFont="1" applyBorder="1" applyAlignment="1"/>
    <xf numFmtId="0" fontId="7" fillId="0" borderId="61" xfId="0" applyFont="1" applyFill="1" applyBorder="1" applyAlignment="1">
      <alignment horizontal="center" vertical="center"/>
    </xf>
    <xf numFmtId="0" fontId="2" fillId="2" borderId="37"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0" borderId="38" xfId="0" applyFont="1" applyFill="1" applyBorder="1" applyAlignment="1">
      <alignment horizontal="center" vertical="center"/>
    </xf>
    <xf numFmtId="0" fontId="9" fillId="0" borderId="11" xfId="0" applyFont="1" applyFill="1" applyBorder="1" applyAlignment="1"/>
    <xf numFmtId="0" fontId="3" fillId="0" borderId="0" xfId="0" applyFont="1" applyFill="1" applyBorder="1" applyAlignment="1">
      <alignment horizontal="left"/>
    </xf>
    <xf numFmtId="0" fontId="3" fillId="0" borderId="61" xfId="0" applyFont="1" applyFill="1" applyBorder="1" applyAlignment="1">
      <alignment horizontal="left" vertical="top"/>
    </xf>
    <xf numFmtId="0" fontId="3" fillId="0" borderId="42" xfId="0" applyFont="1" applyFill="1" applyBorder="1" applyAlignment="1">
      <alignment horizontal="left" vertical="top"/>
    </xf>
    <xf numFmtId="0" fontId="3" fillId="0" borderId="0" xfId="0" applyFont="1" applyFill="1" applyBorder="1" applyAlignment="1">
      <alignment horizontal="left" vertical="top"/>
    </xf>
    <xf numFmtId="0" fontId="3" fillId="0" borderId="34" xfId="0" applyFont="1" applyFill="1" applyBorder="1" applyAlignment="1">
      <alignment horizontal="left" vertical="top"/>
    </xf>
    <xf numFmtId="0" fontId="3" fillId="0" borderId="6" xfId="0" applyFont="1" applyFill="1" applyBorder="1" applyAlignment="1">
      <alignment horizontal="left" vertical="top"/>
    </xf>
    <xf numFmtId="0" fontId="3" fillId="0" borderId="5" xfId="0" applyFont="1" applyFill="1" applyBorder="1" applyAlignment="1">
      <alignment horizontal="left" vertical="top"/>
    </xf>
    <xf numFmtId="0" fontId="2" fillId="0" borderId="39" xfId="0" applyFont="1" applyFill="1" applyBorder="1" applyAlignment="1">
      <alignment horizontal="center" vertical="center"/>
    </xf>
    <xf numFmtId="0" fontId="9" fillId="0" borderId="43" xfId="0" applyFont="1" applyFill="1" applyBorder="1" applyAlignment="1"/>
    <xf numFmtId="0" fontId="3" fillId="0" borderId="27" xfId="0" applyFont="1" applyFill="1" applyBorder="1" applyAlignment="1">
      <alignment horizontal="left" vertical="top" wrapText="1"/>
    </xf>
    <xf numFmtId="0" fontId="3" fillId="0" borderId="27" xfId="0" applyFont="1" applyFill="1" applyBorder="1" applyAlignment="1">
      <alignment horizontal="left" vertical="top"/>
    </xf>
    <xf numFmtId="0" fontId="3" fillId="0" borderId="4" xfId="0" applyFont="1" applyFill="1" applyBorder="1" applyAlignment="1">
      <alignment horizontal="center" vertical="top" wrapText="1"/>
    </xf>
    <xf numFmtId="0" fontId="3" fillId="0" borderId="41" xfId="0" applyFont="1" applyFill="1" applyBorder="1" applyAlignment="1">
      <alignment horizontal="center"/>
    </xf>
    <xf numFmtId="0" fontId="5" fillId="0" borderId="34" xfId="0" applyFont="1" applyFill="1" applyBorder="1" applyAlignment="1">
      <alignment horizontal="center"/>
    </xf>
    <xf numFmtId="0" fontId="3" fillId="0" borderId="41" xfId="0" applyFont="1" applyFill="1" applyBorder="1" applyAlignment="1">
      <alignment horizontal="center" vertical="center"/>
    </xf>
    <xf numFmtId="0" fontId="5" fillId="0" borderId="34" xfId="0" applyFont="1" applyBorder="1" applyAlignment="1">
      <alignment horizontal="center" vertical="center"/>
    </xf>
    <xf numFmtId="0" fontId="5" fillId="0" borderId="4" xfId="0" applyFont="1" applyFill="1" applyBorder="1" applyAlignment="1">
      <alignment horizontal="left" vertical="top"/>
    </xf>
    <xf numFmtId="0" fontId="14" fillId="2" borderId="37"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8" fillId="0" borderId="0" xfId="0" applyFont="1" applyFill="1" applyBorder="1" applyAlignment="1">
      <alignment horizontal="center"/>
    </xf>
    <xf numFmtId="0" fontId="3" fillId="2" borderId="37"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0" borderId="39" xfId="0" applyFont="1" applyFill="1" applyBorder="1" applyAlignment="1">
      <alignment horizontal="center"/>
    </xf>
    <xf numFmtId="0" fontId="5" fillId="0" borderId="42" xfId="0" applyFont="1" applyFill="1" applyBorder="1" applyAlignment="1">
      <alignment horizontal="center"/>
    </xf>
    <xf numFmtId="0" fontId="17" fillId="0" borderId="43" xfId="0" applyFont="1" applyFill="1" applyBorder="1" applyAlignment="1">
      <alignment horizontal="center" vertical="top" wrapText="1"/>
    </xf>
    <xf numFmtId="0" fontId="17" fillId="0" borderId="6" xfId="0" applyFont="1" applyFill="1" applyBorder="1" applyAlignment="1">
      <alignment horizontal="center" vertical="top" wrapText="1"/>
    </xf>
    <xf numFmtId="0" fontId="7" fillId="0" borderId="0" xfId="0" applyFont="1" applyFill="1" applyAlignment="1">
      <alignment horizontal="center"/>
    </xf>
    <xf numFmtId="0" fontId="8" fillId="0" borderId="0" xfId="0" applyFont="1" applyFill="1" applyBorder="1" applyAlignment="1">
      <alignment horizontal="left"/>
    </xf>
    <xf numFmtId="0" fontId="3" fillId="0" borderId="39" xfId="0" applyFont="1" applyFill="1" applyBorder="1" applyAlignment="1">
      <alignment horizontal="center" vertical="top" wrapText="1"/>
    </xf>
    <xf numFmtId="0" fontId="3" fillId="0" borderId="61" xfId="0" applyFont="1" applyFill="1" applyBorder="1" applyAlignment="1">
      <alignment horizontal="center" vertical="top" wrapText="1"/>
    </xf>
    <xf numFmtId="3" fontId="7" fillId="0" borderId="0" xfId="0" applyNumberFormat="1" applyFont="1" applyFill="1" applyBorder="1" applyAlignment="1">
      <alignment horizontal="center"/>
    </xf>
    <xf numFmtId="0" fontId="11" fillId="0" borderId="27" xfId="0" applyFont="1" applyFill="1" applyBorder="1" applyAlignment="1">
      <alignment wrapText="1"/>
    </xf>
    <xf numFmtId="0" fontId="11" fillId="0" borderId="37" xfId="0" applyFont="1" applyFill="1" applyBorder="1" applyAlignment="1">
      <alignment wrapText="1"/>
    </xf>
    <xf numFmtId="0" fontId="11" fillId="0" borderId="39"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0" xfId="0" applyFont="1" applyFill="1" applyBorder="1" applyAlignment="1">
      <alignment horizontal="center"/>
    </xf>
    <xf numFmtId="3" fontId="11" fillId="0" borderId="0" xfId="0" applyNumberFormat="1" applyFont="1" applyFill="1" applyBorder="1" applyAlignment="1">
      <alignment horizontal="center"/>
    </xf>
    <xf numFmtId="0" fontId="5" fillId="0" borderId="27" xfId="0" applyFont="1" applyFill="1" applyBorder="1" applyAlignment="1">
      <alignment horizontal="left"/>
    </xf>
    <xf numFmtId="0" fontId="9" fillId="0" borderId="61" xfId="0" applyFont="1" applyFill="1" applyBorder="1" applyAlignment="1">
      <alignment horizontal="center" vertical="center"/>
    </xf>
    <xf numFmtId="0" fontId="9" fillId="0" borderId="6" xfId="0" applyFont="1" applyBorder="1" applyAlignment="1"/>
    <xf numFmtId="0" fontId="5" fillId="0" borderId="61" xfId="0" applyFont="1" applyFill="1" applyBorder="1" applyAlignment="1">
      <alignment horizontal="left" vertical="top" wrapText="1"/>
    </xf>
    <xf numFmtId="0" fontId="5" fillId="0" borderId="0" xfId="0" applyFont="1" applyFill="1" applyAlignment="1">
      <alignment horizontal="justify" wrapText="1"/>
    </xf>
    <xf numFmtId="0" fontId="5" fillId="0" borderId="0" xfId="0" applyFont="1" applyFill="1" applyAlignment="1">
      <alignment horizontal="center" wrapText="1"/>
    </xf>
    <xf numFmtId="0" fontId="9" fillId="0" borderId="0" xfId="0" applyFont="1" applyFill="1" applyAlignment="1">
      <alignment horizontal="center" wrapText="1"/>
    </xf>
    <xf numFmtId="3" fontId="9" fillId="0" borderId="0" xfId="0" applyNumberFormat="1" applyFont="1" applyFill="1" applyAlignment="1">
      <alignment horizontal="center" wrapText="1"/>
    </xf>
    <xf numFmtId="0" fontId="5" fillId="0" borderId="6" xfId="0" applyFont="1" applyFill="1" applyBorder="1" applyAlignment="1">
      <alignment horizontal="justify" wrapText="1"/>
    </xf>
    <xf numFmtId="8" fontId="5" fillId="0" borderId="6" xfId="0" applyNumberFormat="1" applyFont="1" applyFill="1" applyBorder="1" applyAlignment="1">
      <alignment horizontal="right" wrapText="1"/>
    </xf>
    <xf numFmtId="0" fontId="5" fillId="0" borderId="6" xfId="0" applyFont="1" applyFill="1" applyBorder="1" applyAlignment="1">
      <alignment horizontal="right" wrapText="1"/>
    </xf>
    <xf numFmtId="0" fontId="9" fillId="0" borderId="27" xfId="0" applyFont="1" applyFill="1" applyBorder="1" applyAlignment="1">
      <alignment horizontal="center" wrapText="1"/>
    </xf>
    <xf numFmtId="0" fontId="9" fillId="0" borderId="37" xfId="0" applyFont="1" applyFill="1" applyBorder="1" applyAlignment="1">
      <alignment horizontal="center" wrapText="1"/>
    </xf>
    <xf numFmtId="0" fontId="9" fillId="0" borderId="36" xfId="0" applyFont="1" applyFill="1" applyBorder="1" applyAlignment="1">
      <alignment horizontal="center" wrapText="1"/>
    </xf>
    <xf numFmtId="0" fontId="5" fillId="0" borderId="0" xfId="0" applyFont="1" applyAlignment="1">
      <alignment horizontal="left" wrapText="1"/>
    </xf>
    <xf numFmtId="0" fontId="9" fillId="0" borderId="0" xfId="0" applyFont="1" applyAlignment="1">
      <alignment horizontal="left"/>
    </xf>
    <xf numFmtId="0" fontId="12" fillId="0" borderId="0" xfId="0" applyFont="1" applyAlignment="1">
      <alignment horizontal="left" wrapText="1"/>
    </xf>
    <xf numFmtId="3" fontId="9" fillId="0" borderId="0" xfId="0" applyNumberFormat="1" applyFont="1" applyAlignment="1">
      <alignment horizontal="center"/>
    </xf>
    <xf numFmtId="0" fontId="12" fillId="2" borderId="86" xfId="4" applyFont="1" applyFill="1" applyBorder="1" applyAlignment="1">
      <alignment horizontal="center" vertical="top" wrapText="1"/>
    </xf>
    <xf numFmtId="0" fontId="12" fillId="2" borderId="87" xfId="4" applyFont="1" applyFill="1" applyBorder="1" applyAlignment="1">
      <alignment horizontal="center" vertical="top" wrapText="1"/>
    </xf>
    <xf numFmtId="0" fontId="12" fillId="2" borderId="88" xfId="4" applyFont="1" applyFill="1" applyBorder="1" applyAlignment="1">
      <alignment horizontal="center" vertical="top" wrapText="1"/>
    </xf>
    <xf numFmtId="0" fontId="12" fillId="2" borderId="85" xfId="4" applyFont="1" applyFill="1" applyBorder="1" applyAlignment="1">
      <alignment horizontal="center" vertical="top" wrapText="1"/>
    </xf>
    <xf numFmtId="0" fontId="12" fillId="2" borderId="91" xfId="4" applyFont="1" applyFill="1" applyBorder="1" applyAlignment="1">
      <alignment horizontal="center" vertical="top" wrapText="1"/>
    </xf>
    <xf numFmtId="0" fontId="12" fillId="2" borderId="84" xfId="4" applyFont="1" applyFill="1" applyBorder="1" applyAlignment="1">
      <alignment horizontal="center" vertical="top" wrapText="1"/>
    </xf>
    <xf numFmtId="0" fontId="12" fillId="2" borderId="89" xfId="4" applyFont="1" applyFill="1" applyBorder="1" applyAlignment="1">
      <alignment horizontal="center" vertical="top" wrapText="1"/>
    </xf>
  </cellXfs>
  <cellStyles count="6">
    <cellStyle name="Normal" xfId="0" builtinId="0"/>
    <cellStyle name="Normal 2" xfId="3"/>
    <cellStyle name="Normal 3" xfId="4"/>
    <cellStyle name="Porcentagem" xfId="1" builtinId="5"/>
    <cellStyle name="Separador de milhares" xfId="2" builtinId="3"/>
    <cellStyle name="Separador de milhares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1533525</xdr:colOff>
      <xdr:row>12</xdr:row>
      <xdr:rowOff>123825</xdr:rowOff>
    </xdr:from>
    <xdr:ext cx="184731" cy="264560"/>
    <xdr:sp macro="" textlink="">
      <xdr:nvSpPr>
        <xdr:cNvPr id="4" name="CaixaDeTexto 3"/>
        <xdr:cNvSpPr txBox="1"/>
      </xdr:nvSpPr>
      <xdr:spPr>
        <a:xfrm>
          <a:off x="177165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1533525</xdr:colOff>
      <xdr:row>12</xdr:row>
      <xdr:rowOff>123825</xdr:rowOff>
    </xdr:from>
    <xdr:ext cx="184731" cy="264560"/>
    <xdr:sp macro="" textlink="">
      <xdr:nvSpPr>
        <xdr:cNvPr id="5" name="CaixaDeTexto 4"/>
        <xdr:cNvSpPr txBox="1"/>
      </xdr:nvSpPr>
      <xdr:spPr>
        <a:xfrm>
          <a:off x="177165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1533525</xdr:colOff>
      <xdr:row>12</xdr:row>
      <xdr:rowOff>123825</xdr:rowOff>
    </xdr:from>
    <xdr:ext cx="184731" cy="264560"/>
    <xdr:sp macro="" textlink="">
      <xdr:nvSpPr>
        <xdr:cNvPr id="6" name="CaixaDeTexto 5"/>
        <xdr:cNvSpPr txBox="1"/>
      </xdr:nvSpPr>
      <xdr:spPr>
        <a:xfrm>
          <a:off x="19621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1533525</xdr:colOff>
      <xdr:row>12</xdr:row>
      <xdr:rowOff>123825</xdr:rowOff>
    </xdr:from>
    <xdr:ext cx="184731" cy="264560"/>
    <xdr:sp macro="" textlink="">
      <xdr:nvSpPr>
        <xdr:cNvPr id="7" name="CaixaDeTexto 6"/>
        <xdr:cNvSpPr txBox="1"/>
      </xdr:nvSpPr>
      <xdr:spPr>
        <a:xfrm>
          <a:off x="19621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28575</xdr:rowOff>
    </xdr:from>
    <xdr:to>
      <xdr:col>9</xdr:col>
      <xdr:colOff>571500</xdr:colOff>
      <xdr:row>58</xdr:row>
      <xdr:rowOff>95250</xdr:rowOff>
    </xdr:to>
    <xdr:sp macro="" textlink="">
      <xdr:nvSpPr>
        <xdr:cNvPr id="3073" name="Text Box 1"/>
        <xdr:cNvSpPr txBox="1">
          <a:spLocks noChangeArrowheads="1"/>
        </xdr:cNvSpPr>
      </xdr:nvSpPr>
      <xdr:spPr bwMode="auto">
        <a:xfrm>
          <a:off x="0" y="8782050"/>
          <a:ext cx="8991600" cy="495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pt-BR" sz="900" b="0" i="0" strike="noStrike">
              <a:solidFill>
                <a:srgbClr val="FF0000"/>
              </a:solidFill>
              <a:latin typeface="Arial"/>
              <a:cs typeface="Arial"/>
            </a:rPr>
            <a:t>Este demonstrativo será acompanhado de análise dos principais dados apresentados, assim como de eventuais variações abruptas e outras que mereçam destaque. Também serão apresentadas as medidas que a Administração Pública pretende tomar visando a atingir as metas estabelecidas.</a:t>
          </a:r>
        </a:p>
        <a:p>
          <a:pPr algn="l" rtl="1">
            <a:defRPr sz="1000"/>
          </a:pPr>
          <a:r>
            <a:rPr lang="pt-BR" sz="900" b="0" i="0" strike="noStrike">
              <a:solidFill>
                <a:srgbClr val="FF0000"/>
              </a:solidFill>
              <a:latin typeface="Arial"/>
              <a:cs typeface="Arial"/>
            </a:rPr>
            <a:t>Utilizar o PIB do Estado projetado na LDO.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561975</xdr:colOff>
      <xdr:row>60</xdr:row>
      <xdr:rowOff>47625</xdr:rowOff>
    </xdr:from>
    <xdr:to>
      <xdr:col>12</xdr:col>
      <xdr:colOff>514350</xdr:colOff>
      <xdr:row>64</xdr:row>
      <xdr:rowOff>19050</xdr:rowOff>
    </xdr:to>
    <xdr:sp macro="" textlink="">
      <xdr:nvSpPr>
        <xdr:cNvPr id="5121" name="Text Box 1"/>
        <xdr:cNvSpPr txBox="1">
          <a:spLocks noChangeArrowheads="1"/>
        </xdr:cNvSpPr>
      </xdr:nvSpPr>
      <xdr:spPr bwMode="auto">
        <a:xfrm>
          <a:off x="561975" y="8829675"/>
          <a:ext cx="10506075" cy="5429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pt-BR" sz="1000" b="0" i="0" strike="noStrike">
              <a:solidFill>
                <a:srgbClr val="000000"/>
              </a:solidFill>
              <a:latin typeface="Arial"/>
              <a:cs typeface="Arial"/>
            </a:rPr>
            <a:t>O demonstrativo deve ser acompanhado de análise a respito de alguns itens que representam parâmetros básicos para se chegar aos valores apresentados como metas.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59</xdr:row>
      <xdr:rowOff>9525</xdr:rowOff>
    </xdr:from>
    <xdr:to>
      <xdr:col>7</xdr:col>
      <xdr:colOff>38100</xdr:colOff>
      <xdr:row>65</xdr:row>
      <xdr:rowOff>9525</xdr:rowOff>
    </xdr:to>
    <xdr:sp macro="" textlink="">
      <xdr:nvSpPr>
        <xdr:cNvPr id="6145" name="Text Box 1"/>
        <xdr:cNvSpPr txBox="1">
          <a:spLocks noChangeArrowheads="1"/>
        </xdr:cNvSpPr>
      </xdr:nvSpPr>
      <xdr:spPr bwMode="auto">
        <a:xfrm>
          <a:off x="57150" y="8943975"/>
          <a:ext cx="6896100" cy="8572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pt-BR" sz="1000" b="0" i="0" strike="noStrike">
              <a:solidFill>
                <a:srgbClr val="000000"/>
              </a:solidFill>
              <a:latin typeface="Arial"/>
              <a:cs typeface="Arial"/>
            </a:rPr>
            <a:t>o Demonstrativo da Evolução do Patrimônio Líquido deve trazer em conjunto uma análise dos valores apresentados, com as causas das variações do PL do ente da Federação como, por exemplo, fatos que venham a causar desequilíbrio entre as variações ativas e passivas e outros que contribuam para o aumento ou a diminuição da situação líquida patrimonial. </a:t>
          </a:r>
        </a:p>
        <a:p>
          <a:pPr algn="l" rtl="1">
            <a:defRPr sz="1000"/>
          </a:pPr>
          <a:r>
            <a:rPr lang="pt-BR" sz="1000" b="0" i="0" strike="noStrike">
              <a:solidFill>
                <a:srgbClr val="000000"/>
              </a:solidFill>
              <a:latin typeface="Arial"/>
              <a:cs typeface="Arial"/>
            </a:rPr>
            <a:t>Também podem impactar substancialmente no PL a contabilização das projeções atuariais, as reavaliações de bens e outros que possam merecer destaque.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100</xdr:row>
      <xdr:rowOff>95250</xdr:rowOff>
    </xdr:from>
    <xdr:to>
      <xdr:col>9</xdr:col>
      <xdr:colOff>0</xdr:colOff>
      <xdr:row>112</xdr:row>
      <xdr:rowOff>0</xdr:rowOff>
    </xdr:to>
    <xdr:sp macro="" textlink="">
      <xdr:nvSpPr>
        <xdr:cNvPr id="8194" name="Text Box 2"/>
        <xdr:cNvSpPr txBox="1">
          <a:spLocks noChangeArrowheads="1"/>
        </xdr:cNvSpPr>
      </xdr:nvSpPr>
      <xdr:spPr bwMode="auto">
        <a:xfrm>
          <a:off x="19050" y="14687550"/>
          <a:ext cx="5734050" cy="16192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pt-BR" sz="1000" b="0" i="0" strike="noStrike">
              <a:solidFill>
                <a:srgbClr val="000000"/>
              </a:solidFill>
              <a:latin typeface="Arial"/>
              <a:cs typeface="Arial"/>
            </a:rPr>
            <a:t>As receitas devem ser apresentadas líquidas das deduções.</a:t>
          </a:r>
        </a:p>
        <a:p>
          <a:pPr algn="l" rtl="1">
            <a:defRPr sz="1000"/>
          </a:pPr>
          <a:endParaRPr lang="pt-BR" sz="1000" b="0" i="0" strike="noStrike">
            <a:solidFill>
              <a:srgbClr val="000000"/>
            </a:solidFill>
            <a:latin typeface="Arial"/>
            <a:cs typeface="Arial"/>
          </a:endParaRPr>
        </a:p>
        <a:p>
          <a:pPr algn="l" rtl="1">
            <a:defRPr sz="1000"/>
          </a:pPr>
          <a:r>
            <a:rPr lang="pt-BR" sz="1000" b="0" i="0" strike="noStrike">
              <a:solidFill>
                <a:srgbClr val="000000"/>
              </a:solidFill>
              <a:latin typeface="Arial"/>
              <a:cs typeface="Arial"/>
            </a:rPr>
            <a:t>Os demonstrativos também deverão estar acompanhados de análise descritiva dos parâmetros utilizados na avaliação atuarial e de valores que possuam maior relevância para o entendimento da situação financeira e atuarial do RPPS. Na análise e nas projeções devem ser atendidas as normas e critérios estabelecidos pelo Ministério da Previdência Social. Variações atípicas observadas, base de dados utilizada e outros elementos considerados relevantes também deverão ser objetos de análise, estabelecendo-se, dessa forma, consistência entre os dados utilizados e os valores apresentados.</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92"/>
  <sheetViews>
    <sheetView zoomScaleNormal="100" workbookViewId="0">
      <selection activeCell="B85" sqref="B85"/>
    </sheetView>
  </sheetViews>
  <sheetFormatPr defaultRowHeight="12.75"/>
  <cols>
    <col min="1" max="1" width="2.7109375" style="179" customWidth="1"/>
    <col min="2" max="2" width="37.42578125" style="179" customWidth="1"/>
    <col min="3" max="3" width="14.28515625" style="179" customWidth="1"/>
    <col min="4" max="4" width="14" style="179" customWidth="1"/>
    <col min="5" max="6" width="13.5703125" style="179" bestFit="1" customWidth="1"/>
    <col min="7" max="8" width="13.85546875" style="179" customWidth="1"/>
    <col min="9" max="9" width="14.5703125" style="179" customWidth="1"/>
    <col min="10" max="10" width="4.7109375" style="179" hidden="1" customWidth="1"/>
    <col min="11" max="11" width="14" style="179" bestFit="1" customWidth="1"/>
    <col min="12" max="16384" width="9.140625" style="179"/>
  </cols>
  <sheetData>
    <row r="1" spans="1:11">
      <c r="A1" s="507" t="s">
        <v>585</v>
      </c>
      <c r="B1" s="507"/>
      <c r="C1" s="507"/>
      <c r="D1" s="507"/>
      <c r="E1" s="507"/>
      <c r="F1" s="507"/>
      <c r="G1" s="507"/>
      <c r="H1" s="507"/>
      <c r="I1" s="507"/>
      <c r="J1" s="507"/>
    </row>
    <row r="2" spans="1:11">
      <c r="A2" s="508" t="s">
        <v>21</v>
      </c>
      <c r="B2" s="508"/>
      <c r="C2" s="508"/>
      <c r="D2" s="508"/>
      <c r="E2" s="508"/>
      <c r="F2" s="508"/>
      <c r="G2" s="508"/>
      <c r="H2" s="508"/>
    </row>
    <row r="3" spans="1:11">
      <c r="A3" s="508" t="s">
        <v>192</v>
      </c>
      <c r="B3" s="508"/>
      <c r="C3" s="508"/>
      <c r="D3" s="508"/>
      <c r="E3" s="508"/>
      <c r="F3" s="508"/>
      <c r="G3" s="508"/>
      <c r="H3" s="508"/>
      <c r="I3" s="508"/>
      <c r="J3" s="508"/>
    </row>
    <row r="4" spans="1:11">
      <c r="A4" s="185"/>
      <c r="B4" s="185"/>
      <c r="C4" s="185"/>
      <c r="D4" s="185"/>
      <c r="E4" s="185" t="s">
        <v>372</v>
      </c>
      <c r="F4" s="185"/>
      <c r="G4" s="185"/>
      <c r="H4" s="185"/>
      <c r="I4" s="185"/>
      <c r="J4" s="185"/>
    </row>
    <row r="5" spans="1:11">
      <c r="A5" s="508" t="s">
        <v>164</v>
      </c>
      <c r="B5" s="508"/>
      <c r="C5" s="508"/>
      <c r="D5" s="508"/>
      <c r="E5" s="508"/>
      <c r="F5" s="508"/>
      <c r="G5" s="508"/>
      <c r="H5" s="508"/>
      <c r="I5" s="508"/>
      <c r="J5" s="508"/>
    </row>
    <row r="6" spans="1:11" ht="15" customHeight="1">
      <c r="A6" s="186"/>
      <c r="B6" s="186"/>
      <c r="C6" s="186"/>
      <c r="D6" s="186"/>
      <c r="E6" s="186"/>
      <c r="F6" s="186"/>
      <c r="G6" s="186"/>
      <c r="H6" s="186"/>
      <c r="I6" s="186"/>
    </row>
    <row r="7" spans="1:11" ht="15" customHeight="1">
      <c r="A7" s="396"/>
      <c r="B7" s="397" t="s">
        <v>318</v>
      </c>
      <c r="C7" s="398"/>
      <c r="D7" s="398"/>
      <c r="E7" s="398"/>
      <c r="F7" s="399"/>
      <c r="G7" s="400" t="s">
        <v>331</v>
      </c>
      <c r="H7" s="401"/>
      <c r="I7" s="402">
        <v>4.4999999999999998E-2</v>
      </c>
      <c r="J7" s="403"/>
      <c r="K7" s="187"/>
    </row>
    <row r="8" spans="1:11" ht="27" customHeight="1">
      <c r="A8" s="503" t="s">
        <v>332</v>
      </c>
      <c r="B8" s="504"/>
      <c r="C8" s="398" t="s">
        <v>333</v>
      </c>
      <c r="D8" s="398"/>
      <c r="E8" s="399"/>
      <c r="F8" s="404" t="s">
        <v>587</v>
      </c>
      <c r="G8" s="493"/>
      <c r="H8" s="405" t="s">
        <v>334</v>
      </c>
      <c r="I8" s="405"/>
      <c r="J8" s="406"/>
      <c r="K8" s="188"/>
    </row>
    <row r="9" spans="1:11" ht="12.75" customHeight="1">
      <c r="A9" s="505"/>
      <c r="B9" s="506"/>
      <c r="C9" s="404" t="s">
        <v>335</v>
      </c>
      <c r="D9" s="404" t="s">
        <v>336</v>
      </c>
      <c r="E9" s="404" t="s">
        <v>337</v>
      </c>
      <c r="F9" s="404" t="s">
        <v>338</v>
      </c>
      <c r="G9" s="407" t="s">
        <v>446</v>
      </c>
      <c r="H9" s="404" t="s">
        <v>551</v>
      </c>
      <c r="I9" s="408" t="s">
        <v>586</v>
      </c>
      <c r="J9" s="403" t="s">
        <v>76</v>
      </c>
      <c r="K9" s="187" t="s">
        <v>76</v>
      </c>
    </row>
    <row r="10" spans="1:11" ht="14.25" customHeight="1">
      <c r="A10" s="512" t="s">
        <v>339</v>
      </c>
      <c r="B10" s="513"/>
      <c r="C10" s="409">
        <f t="shared" ref="C10:H10" si="0">SUM(C11:C13)</f>
        <v>312323.78000000003</v>
      </c>
      <c r="D10" s="409">
        <f t="shared" si="0"/>
        <v>636623.57000000007</v>
      </c>
      <c r="E10" s="409">
        <f t="shared" si="0"/>
        <v>965716.75</v>
      </c>
      <c r="F10" s="409">
        <f t="shared" si="0"/>
        <v>595855.60000000009</v>
      </c>
      <c r="G10" s="410">
        <f t="shared" si="0"/>
        <v>610000.00010000006</v>
      </c>
      <c r="H10" s="409">
        <f t="shared" si="0"/>
        <v>637000.0001045001</v>
      </c>
      <c r="I10" s="409">
        <f t="shared" ref="I10" si="1">SUM(I11:I13)</f>
        <v>665000.00010920258</v>
      </c>
      <c r="J10" s="411">
        <f>SUM(G10:I10)</f>
        <v>1912000.000313703</v>
      </c>
      <c r="K10" s="189">
        <f>SUM(G10:I10)</f>
        <v>1912000.000313703</v>
      </c>
    </row>
    <row r="11" spans="1:11" ht="15" customHeight="1">
      <c r="A11" s="486"/>
      <c r="B11" s="487" t="s">
        <v>340</v>
      </c>
      <c r="C11" s="412">
        <v>294634.69</v>
      </c>
      <c r="D11" s="412">
        <v>617578.18000000005</v>
      </c>
      <c r="E11" s="412">
        <v>947696.33</v>
      </c>
      <c r="F11" s="412">
        <v>583749.78</v>
      </c>
      <c r="G11" s="413">
        <f>F11*$I$7+F11-18.52</f>
        <v>610000.00010000006</v>
      </c>
      <c r="H11" s="412">
        <f>G11*$I$7+G11-450</f>
        <v>637000.0001045001</v>
      </c>
      <c r="I11" s="412">
        <f>H11*$I$7+H11-665</f>
        <v>665000.00010920258</v>
      </c>
      <c r="J11" s="414">
        <f>SUM(G11:I11)</f>
        <v>1912000.000313703</v>
      </c>
      <c r="K11" s="189">
        <f>SUM(G11:I11)</f>
        <v>1912000.000313703</v>
      </c>
    </row>
    <row r="12" spans="1:11" ht="14.25" customHeight="1">
      <c r="A12" s="486"/>
      <c r="B12" s="487" t="s">
        <v>341</v>
      </c>
      <c r="C12" s="412">
        <v>6982.13</v>
      </c>
      <c r="D12" s="412">
        <v>7622.81</v>
      </c>
      <c r="E12" s="412">
        <v>9221.2999999999993</v>
      </c>
      <c r="F12" s="412">
        <v>7408.77</v>
      </c>
      <c r="G12" s="413"/>
      <c r="H12" s="412"/>
      <c r="I12" s="412"/>
      <c r="J12" s="414"/>
      <c r="K12" s="189"/>
    </row>
    <row r="13" spans="1:11">
      <c r="A13" s="486"/>
      <c r="B13" s="487" t="s">
        <v>342</v>
      </c>
      <c r="C13" s="412">
        <v>10706.96</v>
      </c>
      <c r="D13" s="412">
        <v>11422.58</v>
      </c>
      <c r="E13" s="412">
        <v>8799.1200000000008</v>
      </c>
      <c r="F13" s="412">
        <v>4697.05</v>
      </c>
      <c r="G13" s="413"/>
      <c r="H13" s="412"/>
      <c r="I13" s="412"/>
      <c r="J13" s="414"/>
      <c r="K13" s="189"/>
    </row>
    <row r="14" spans="1:11">
      <c r="A14" s="512" t="s">
        <v>161</v>
      </c>
      <c r="B14" s="513"/>
      <c r="C14" s="409">
        <f t="shared" ref="C14:I14" si="2">C15</f>
        <v>47913.86</v>
      </c>
      <c r="D14" s="409">
        <f t="shared" si="2"/>
        <v>78718.92</v>
      </c>
      <c r="E14" s="409">
        <f t="shared" si="2"/>
        <v>133428.41</v>
      </c>
      <c r="F14" s="409">
        <f t="shared" si="2"/>
        <v>138082.541</v>
      </c>
      <c r="G14" s="410">
        <f t="shared" si="2"/>
        <v>116000.00033333333</v>
      </c>
      <c r="H14" s="409">
        <f t="shared" si="2"/>
        <v>121000.00034833333</v>
      </c>
      <c r="I14" s="409">
        <f t="shared" si="2"/>
        <v>126000.00036400833</v>
      </c>
      <c r="J14" s="414">
        <f>SUM(G14:I14)</f>
        <v>363000.00104567502</v>
      </c>
      <c r="K14" s="189">
        <f>SUM(G14:I14)</f>
        <v>363000.00104567502</v>
      </c>
    </row>
    <row r="15" spans="1:11">
      <c r="A15" s="486"/>
      <c r="B15" s="487" t="s">
        <v>343</v>
      </c>
      <c r="C15" s="412">
        <v>47913.86</v>
      </c>
      <c r="D15" s="412">
        <v>78718.92</v>
      </c>
      <c r="E15" s="412">
        <v>133428.41</v>
      </c>
      <c r="F15" s="412">
        <v>138082.541</v>
      </c>
      <c r="G15" s="413">
        <f>(F15+E15+D15)/3-743.29</f>
        <v>116000.00033333333</v>
      </c>
      <c r="H15" s="412">
        <f>G15*$I$7+G15-220</f>
        <v>121000.00034833333</v>
      </c>
      <c r="I15" s="412">
        <f>H15*$I$7+H15-445</f>
        <v>126000.00036400833</v>
      </c>
      <c r="J15" s="414">
        <f>SUM(G15:I15)</f>
        <v>363000.00104567502</v>
      </c>
      <c r="K15" s="189">
        <f>SUM(G15:I15)</f>
        <v>363000.00104567502</v>
      </c>
    </row>
    <row r="16" spans="1:11">
      <c r="A16" s="512" t="s">
        <v>162</v>
      </c>
      <c r="B16" s="513"/>
      <c r="C16" s="409">
        <f t="shared" ref="C16:D16" si="3">SUM(C17:C20)</f>
        <v>89459</v>
      </c>
      <c r="D16" s="409">
        <f t="shared" si="3"/>
        <v>79575</v>
      </c>
      <c r="E16" s="409">
        <f>SUM(E17:E20)</f>
        <v>92883.35</v>
      </c>
      <c r="F16" s="409">
        <f t="shared" ref="F16:I16" si="4">SUM(F17:F20)</f>
        <v>100924.47</v>
      </c>
      <c r="G16" s="410">
        <f t="shared" si="4"/>
        <v>109999.99739999999</v>
      </c>
      <c r="H16" s="409">
        <f t="shared" si="4"/>
        <v>104999.997283</v>
      </c>
      <c r="I16" s="409">
        <f t="shared" si="4"/>
        <v>107999.997160735</v>
      </c>
      <c r="J16" s="414">
        <f>SUM(G16:I16)+0.01</f>
        <v>323000.00184373499</v>
      </c>
      <c r="K16" s="189">
        <f>SUM(G16:I16)</f>
        <v>322999.99184373498</v>
      </c>
    </row>
    <row r="17" spans="1:11">
      <c r="A17" s="488"/>
      <c r="B17" s="487" t="s">
        <v>344</v>
      </c>
      <c r="C17" s="412">
        <v>4989.45</v>
      </c>
      <c r="D17" s="412">
        <v>4454.71</v>
      </c>
      <c r="E17" s="412">
        <v>6435.82</v>
      </c>
      <c r="F17" s="412">
        <v>9034.7999999999993</v>
      </c>
      <c r="G17" s="413">
        <v>9000</v>
      </c>
      <c r="H17" s="412"/>
      <c r="I17" s="412"/>
      <c r="J17" s="414"/>
      <c r="K17" s="189">
        <f t="shared" ref="K17:K18" si="5">SUM(G17:J17)</f>
        <v>9000</v>
      </c>
    </row>
    <row r="18" spans="1:11">
      <c r="A18" s="488"/>
      <c r="B18" s="487" t="s">
        <v>345</v>
      </c>
      <c r="C18" s="412">
        <v>17591.55</v>
      </c>
      <c r="D18" s="412">
        <v>1073.7</v>
      </c>
      <c r="E18" s="412">
        <v>58.35</v>
      </c>
      <c r="F18" s="412">
        <v>81.400000000000006</v>
      </c>
      <c r="G18" s="413"/>
      <c r="H18" s="412"/>
      <c r="I18" s="412"/>
      <c r="J18" s="414"/>
      <c r="K18" s="189">
        <f t="shared" si="5"/>
        <v>0</v>
      </c>
    </row>
    <row r="19" spans="1:11">
      <c r="A19" s="488"/>
      <c r="B19" s="487" t="s">
        <v>346</v>
      </c>
      <c r="C19" s="412">
        <v>48150.17</v>
      </c>
      <c r="D19" s="412">
        <v>39868.949999999997</v>
      </c>
      <c r="E19" s="412">
        <v>63220.57</v>
      </c>
      <c r="F19" s="412">
        <v>71702.55</v>
      </c>
      <c r="G19" s="413">
        <f>F19-E19+F19-184.53</f>
        <v>80000</v>
      </c>
      <c r="H19" s="412">
        <f>G19*$I$7+G19+400</f>
        <v>84000</v>
      </c>
      <c r="I19" s="412">
        <f>H19*$I$7+H19-780</f>
        <v>87000</v>
      </c>
      <c r="J19" s="414">
        <f>SUM(G19:I19)</f>
        <v>251000</v>
      </c>
      <c r="K19" s="189">
        <f t="shared" ref="K19:K44" si="6">SUM(G19:I19)</f>
        <v>251000</v>
      </c>
    </row>
    <row r="20" spans="1:11">
      <c r="A20" s="488"/>
      <c r="B20" s="487" t="s">
        <v>347</v>
      </c>
      <c r="C20" s="412">
        <v>18727.830000000002</v>
      </c>
      <c r="D20" s="412">
        <v>34177.64</v>
      </c>
      <c r="E20" s="412">
        <v>23168.61</v>
      </c>
      <c r="F20" s="412">
        <v>20105.72</v>
      </c>
      <c r="G20" s="413">
        <f>F20*$I$7+F20-10.48</f>
        <v>20999.9974</v>
      </c>
      <c r="H20" s="412">
        <f>G20*$I$7+G20-945</f>
        <v>20999.997283000001</v>
      </c>
      <c r="I20" s="412">
        <f>H20*$I$7+H20-945</f>
        <v>20999.997160735002</v>
      </c>
      <c r="J20" s="414">
        <f>SUM(G20:I20)+0.01</f>
        <v>63000.001843735001</v>
      </c>
      <c r="K20" s="189">
        <f t="shared" si="6"/>
        <v>62999.991843734999</v>
      </c>
    </row>
    <row r="21" spans="1:11">
      <c r="A21" s="512" t="s">
        <v>348</v>
      </c>
      <c r="B21" s="513"/>
      <c r="C21" s="409">
        <f>C22+C31+C38+C40</f>
        <v>8668263.5999999996</v>
      </c>
      <c r="D21" s="409">
        <f>D22+D31+D38+D40</f>
        <v>10051725.329999998</v>
      </c>
      <c r="E21" s="409">
        <f>E22+E31+E38+E40</f>
        <v>12349671.82</v>
      </c>
      <c r="F21" s="409">
        <f>F22+F31+F38+F40</f>
        <v>12865931.020000001</v>
      </c>
      <c r="G21" s="410">
        <f>G22+G31+G38</f>
        <v>13187999.995000001</v>
      </c>
      <c r="H21" s="409">
        <f>H22+H31+H38+H41</f>
        <v>13748000.004775001</v>
      </c>
      <c r="I21" s="409">
        <f>I22+I31+I38+I41</f>
        <v>14361000.004775001</v>
      </c>
      <c r="J21" s="414">
        <f>SUM(G21:I21)</f>
        <v>41297000.004550003</v>
      </c>
      <c r="K21" s="189">
        <f t="shared" si="6"/>
        <v>41297000.004550003</v>
      </c>
    </row>
    <row r="22" spans="1:11">
      <c r="A22" s="512" t="s">
        <v>349</v>
      </c>
      <c r="B22" s="513"/>
      <c r="C22" s="415">
        <f t="shared" ref="C22:D22" si="7">SUM(C23:C30)</f>
        <v>4662158.1100000003</v>
      </c>
      <c r="D22" s="415">
        <f t="shared" si="7"/>
        <v>4883276.6499999994</v>
      </c>
      <c r="E22" s="415">
        <f>SUM(E23:E30)</f>
        <v>6106416.790000001</v>
      </c>
      <c r="F22" s="415">
        <f>SUM(F23:F30)</f>
        <v>6582297.3499999996</v>
      </c>
      <c r="G22" s="416">
        <f>SUM(G23:G30)</f>
        <v>6782999.9999999991</v>
      </c>
      <c r="H22" s="415">
        <f>SUM(H23:H30)</f>
        <v>7019999.9999999991</v>
      </c>
      <c r="I22" s="415">
        <f>SUM(I23:I30)</f>
        <v>7332999.9999999991</v>
      </c>
      <c r="J22" s="414">
        <f>SUM(G22:I22)</f>
        <v>21135999.999999996</v>
      </c>
      <c r="K22" s="189">
        <f t="shared" si="6"/>
        <v>21135999.999999996</v>
      </c>
    </row>
    <row r="23" spans="1:11">
      <c r="A23" s="488"/>
      <c r="B23" s="489" t="s">
        <v>350</v>
      </c>
      <c r="C23" s="449">
        <v>3989175.57</v>
      </c>
      <c r="D23" s="449">
        <v>4285043.2699999996</v>
      </c>
      <c r="E23" s="449">
        <v>5293206.57</v>
      </c>
      <c r="F23" s="412">
        <v>5391014.3099999996</v>
      </c>
      <c r="G23" s="413">
        <f>F23-E23+F23-822.05</f>
        <v>5487999.9999999991</v>
      </c>
      <c r="H23" s="412">
        <f>G23*$I$7+G23+40-66000</f>
        <v>5668999.9999999991</v>
      </c>
      <c r="I23" s="412">
        <f>H23*$I$7+H23-105</f>
        <v>5923999.9999999991</v>
      </c>
      <c r="J23" s="414">
        <f t="shared" ref="J23:J27" si="8">SUM(G23:I23)</f>
        <v>17080999.999999996</v>
      </c>
      <c r="K23" s="189">
        <f t="shared" si="6"/>
        <v>17080999.999999996</v>
      </c>
    </row>
    <row r="24" spans="1:11">
      <c r="A24" s="417"/>
      <c r="B24" s="418" t="s">
        <v>351</v>
      </c>
      <c r="C24" s="412">
        <v>116032.27</v>
      </c>
      <c r="D24" s="412">
        <v>0</v>
      </c>
      <c r="E24" s="412">
        <v>0</v>
      </c>
      <c r="F24" s="412">
        <v>0</v>
      </c>
      <c r="G24" s="413">
        <v>0</v>
      </c>
      <c r="H24" s="412">
        <v>0</v>
      </c>
      <c r="I24" s="412">
        <v>0</v>
      </c>
      <c r="J24" s="414">
        <f t="shared" si="8"/>
        <v>0</v>
      </c>
      <c r="K24" s="189">
        <f t="shared" si="6"/>
        <v>0</v>
      </c>
    </row>
    <row r="25" spans="1:11">
      <c r="A25" s="417"/>
      <c r="B25" s="418" t="s">
        <v>353</v>
      </c>
      <c r="C25" s="412">
        <v>40589.33</v>
      </c>
      <c r="D25" s="412">
        <v>50818.87</v>
      </c>
      <c r="E25" s="412">
        <v>66643.710000000006</v>
      </c>
      <c r="F25" s="412">
        <v>75030.070000000007</v>
      </c>
      <c r="G25" s="413">
        <f>F25-E25+F25-416.43</f>
        <v>83000.000000000015</v>
      </c>
      <c r="H25" s="412">
        <f>G25*$I$7+G25-115-620</f>
        <v>86000.000000000015</v>
      </c>
      <c r="I25" s="412">
        <f>H25*$I$7+H25-870</f>
        <v>89000.000000000015</v>
      </c>
      <c r="J25" s="414">
        <f>SUM(G25:I25)</f>
        <v>258000.00000000006</v>
      </c>
      <c r="K25" s="189">
        <f t="shared" si="6"/>
        <v>258000.00000000006</v>
      </c>
    </row>
    <row r="26" spans="1:11">
      <c r="A26" s="417"/>
      <c r="B26" s="418" t="s">
        <v>355</v>
      </c>
      <c r="C26" s="412">
        <v>196121.87</v>
      </c>
      <c r="D26" s="412">
        <v>296878.53999999998</v>
      </c>
      <c r="E26" s="412">
        <v>454856.92</v>
      </c>
      <c r="F26" s="412">
        <v>853561.6</v>
      </c>
      <c r="G26" s="413">
        <v>980000</v>
      </c>
      <c r="H26" s="412">
        <f>G26*$I$5+G26-100+44100</f>
        <v>1024000</v>
      </c>
      <c r="I26" s="412">
        <f>H26*$I$5+H26-80+46080</f>
        <v>1070000</v>
      </c>
      <c r="J26" s="414">
        <f>SUM(G26:I26)</f>
        <v>3074000</v>
      </c>
      <c r="K26" s="189">
        <f t="shared" si="6"/>
        <v>3074000</v>
      </c>
    </row>
    <row r="27" spans="1:11">
      <c r="A27" s="417"/>
      <c r="B27" s="418" t="s">
        <v>356</v>
      </c>
      <c r="C27" s="412">
        <v>8113.14</v>
      </c>
      <c r="D27" s="412">
        <v>17113.45</v>
      </c>
      <c r="E27" s="412">
        <v>81095.45</v>
      </c>
      <c r="F27" s="412">
        <v>56691.4</v>
      </c>
      <c r="G27" s="413">
        <f>F27-E27+F27-287.35</f>
        <v>32000.000000000007</v>
      </c>
      <c r="H27" s="412">
        <f>G27*$I$7+G27-440</f>
        <v>33000.000000000007</v>
      </c>
      <c r="I27" s="412">
        <f>H27*$I$7+H27-485</f>
        <v>34000.000000000007</v>
      </c>
      <c r="J27" s="414">
        <f t="shared" si="8"/>
        <v>99000.000000000029</v>
      </c>
      <c r="K27" s="189">
        <f t="shared" si="6"/>
        <v>99000.000000000029</v>
      </c>
    </row>
    <row r="28" spans="1:11">
      <c r="A28" s="417"/>
      <c r="B28" s="418" t="s">
        <v>357</v>
      </c>
      <c r="C28" s="412">
        <v>87739.65</v>
      </c>
      <c r="D28" s="412">
        <v>118817.60000000001</v>
      </c>
      <c r="E28" s="412">
        <v>125702.19</v>
      </c>
      <c r="F28" s="412">
        <v>132533.04999999999</v>
      </c>
      <c r="G28" s="413">
        <f>F28-E28+F28-363.91</f>
        <v>138999.99999999997</v>
      </c>
      <c r="H28" s="412">
        <f>G28*$I$7+G28-255</f>
        <v>144999.99999999997</v>
      </c>
      <c r="I28" s="412">
        <f>H28*$I$7+H28-525</f>
        <v>150999.99999999997</v>
      </c>
      <c r="J28" s="414">
        <f>SUM(G28:I28)</f>
        <v>434999.99999999988</v>
      </c>
      <c r="K28" s="189">
        <f t="shared" si="6"/>
        <v>434999.99999999988</v>
      </c>
    </row>
    <row r="29" spans="1:11">
      <c r="A29" s="417"/>
      <c r="B29" s="418" t="s">
        <v>354</v>
      </c>
      <c r="C29" s="412">
        <v>39073.71</v>
      </c>
      <c r="D29" s="412">
        <v>44223.360000000001</v>
      </c>
      <c r="E29" s="412">
        <v>48129.37</v>
      </c>
      <c r="F29" s="412">
        <v>48132.32</v>
      </c>
      <c r="G29" s="413">
        <f>F29-E29+F29-135.27</f>
        <v>48000</v>
      </c>
      <c r="H29" s="412">
        <f>G29*$I$7+G29-160</f>
        <v>50000</v>
      </c>
      <c r="I29" s="412">
        <f>H29*$I$7+H29-250</f>
        <v>52000</v>
      </c>
      <c r="J29" s="414">
        <f>SUM(G29:I29)</f>
        <v>150000</v>
      </c>
      <c r="K29" s="189">
        <f t="shared" si="6"/>
        <v>150000</v>
      </c>
    </row>
    <row r="30" spans="1:11">
      <c r="A30" s="417"/>
      <c r="B30" s="418" t="s">
        <v>352</v>
      </c>
      <c r="C30" s="412">
        <v>185312.57</v>
      </c>
      <c r="D30" s="412">
        <v>70381.56</v>
      </c>
      <c r="E30" s="412">
        <v>36782.58</v>
      </c>
      <c r="F30" s="412">
        <v>25334.6</v>
      </c>
      <c r="G30" s="413">
        <f>F30-E30+F30-886.62</f>
        <v>12999.999999999995</v>
      </c>
      <c r="H30" s="412">
        <f>G30*$I$7+G30-585</f>
        <v>12999.999999999995</v>
      </c>
      <c r="I30" s="412">
        <f>H30*$I$7+H30-585</f>
        <v>12999.999999999995</v>
      </c>
      <c r="J30" s="414">
        <f>SUM(G30:I30)</f>
        <v>38999.999999999985</v>
      </c>
      <c r="K30" s="189">
        <f t="shared" si="6"/>
        <v>38999.999999999985</v>
      </c>
    </row>
    <row r="31" spans="1:11">
      <c r="A31" s="512" t="s">
        <v>358</v>
      </c>
      <c r="B31" s="513"/>
      <c r="C31" s="409">
        <f t="shared" ref="C31:D31" si="9">SUM(C32:C37)</f>
        <v>3316444.9</v>
      </c>
      <c r="D31" s="409">
        <f t="shared" si="9"/>
        <v>4360729.1399999997</v>
      </c>
      <c r="E31" s="409">
        <f>SUM(E32:E37)</f>
        <v>5138908.58</v>
      </c>
      <c r="F31" s="409">
        <f t="shared" ref="F31:I31" si="10">SUM(F32:F37)</f>
        <v>5335842.6800000006</v>
      </c>
      <c r="G31" s="410">
        <f t="shared" si="10"/>
        <v>5427000.0000000009</v>
      </c>
      <c r="H31" s="409">
        <f t="shared" si="10"/>
        <v>5669000.0000000009</v>
      </c>
      <c r="I31" s="409">
        <f t="shared" si="10"/>
        <v>5922000.0000000009</v>
      </c>
      <c r="J31" s="414">
        <f t="shared" ref="J31" si="11">SUM(G31:I31)</f>
        <v>17018000.000000004</v>
      </c>
      <c r="K31" s="189">
        <f t="shared" si="6"/>
        <v>17018000.000000004</v>
      </c>
    </row>
    <row r="32" spans="1:11">
      <c r="A32" s="417"/>
      <c r="B32" s="418" t="s">
        <v>359</v>
      </c>
      <c r="C32" s="412">
        <v>3032388.92</v>
      </c>
      <c r="D32" s="412">
        <v>4036817.43</v>
      </c>
      <c r="E32" s="412">
        <v>4795473.33</v>
      </c>
      <c r="F32" s="412">
        <v>4947061.07</v>
      </c>
      <c r="G32" s="413">
        <f>F32-E32+F32-648.81</f>
        <v>5098000.0000000009</v>
      </c>
      <c r="H32" s="412">
        <f>G32*$I$7+G32-410</f>
        <v>5327000.0000000009</v>
      </c>
      <c r="I32" s="412">
        <f>H32*$I$7+H32-715</f>
        <v>5566000.0000000009</v>
      </c>
      <c r="J32" s="414">
        <f>SUM(G32:I32)</f>
        <v>15991000.000000004</v>
      </c>
      <c r="K32" s="189">
        <f t="shared" si="6"/>
        <v>15991000.000000004</v>
      </c>
    </row>
    <row r="33" spans="1:11">
      <c r="A33" s="417"/>
      <c r="B33" s="418" t="s">
        <v>360</v>
      </c>
      <c r="C33" s="412">
        <v>90811.19</v>
      </c>
      <c r="D33" s="412">
        <v>105563.78</v>
      </c>
      <c r="E33" s="412">
        <v>124616.19</v>
      </c>
      <c r="F33" s="412">
        <v>118167.51</v>
      </c>
      <c r="G33" s="413">
        <f>F33-E33+F33-718.83</f>
        <v>110999.99999999999</v>
      </c>
      <c r="H33" s="412">
        <f>G33*$I$7+G33+5</f>
        <v>115999.99999999999</v>
      </c>
      <c r="I33" s="412">
        <f>H33*$I$7+H33-220</f>
        <v>120999.99999999999</v>
      </c>
      <c r="J33" s="414">
        <f>SUM(G33:I33)</f>
        <v>347999.99999999994</v>
      </c>
      <c r="K33" s="189">
        <f t="shared" si="6"/>
        <v>347999.99999999994</v>
      </c>
    </row>
    <row r="34" spans="1:11">
      <c r="A34" s="417"/>
      <c r="B34" s="418" t="s">
        <v>361</v>
      </c>
      <c r="C34" s="412">
        <v>66184.58</v>
      </c>
      <c r="D34" s="412">
        <v>98213.55</v>
      </c>
      <c r="E34" s="412">
        <v>116880.38</v>
      </c>
      <c r="F34" s="412">
        <v>101497.29</v>
      </c>
      <c r="G34" s="413">
        <f>F34-E34+F34-114.2</f>
        <v>85999.999999999985</v>
      </c>
      <c r="H34" s="412">
        <f>G34*$I$7+G34+30-900</f>
        <v>88999.999999999985</v>
      </c>
      <c r="I34" s="412">
        <f>H34*$I$7+H34-5</f>
        <v>92999.999999999985</v>
      </c>
      <c r="J34" s="414">
        <f>SUM(G34:I34)</f>
        <v>267999.99999999994</v>
      </c>
      <c r="K34" s="189">
        <f t="shared" si="6"/>
        <v>267999.99999999994</v>
      </c>
    </row>
    <row r="35" spans="1:11">
      <c r="A35" s="417"/>
      <c r="B35" s="418" t="s">
        <v>362</v>
      </c>
      <c r="C35" s="412">
        <v>9251.36</v>
      </c>
      <c r="D35" s="412">
        <v>16872.37</v>
      </c>
      <c r="E35" s="412">
        <v>19748.05</v>
      </c>
      <c r="F35" s="412">
        <v>18481.7</v>
      </c>
      <c r="G35" s="413">
        <f>F35-E35+F35-215.35</f>
        <v>17000.000000000004</v>
      </c>
      <c r="H35" s="412">
        <f>G35*$I$7+G35+35-800</f>
        <v>17000.000000000004</v>
      </c>
      <c r="I35" s="412">
        <f>H35*$I$5+H35</f>
        <v>17000.000000000004</v>
      </c>
      <c r="J35" s="414">
        <f>SUM(G35:I35)</f>
        <v>51000.000000000015</v>
      </c>
      <c r="K35" s="189">
        <f t="shared" si="6"/>
        <v>51000.000000000015</v>
      </c>
    </row>
    <row r="36" spans="1:11">
      <c r="A36" s="417"/>
      <c r="B36" s="418" t="s">
        <v>363</v>
      </c>
      <c r="C36" s="412">
        <v>104527.96</v>
      </c>
      <c r="D36" s="412">
        <v>97669.02</v>
      </c>
      <c r="E36" s="412">
        <v>82190.63</v>
      </c>
      <c r="F36" s="412">
        <v>98735.11</v>
      </c>
      <c r="G36" s="413">
        <f>F36-E36+F36-279.59</f>
        <v>115000</v>
      </c>
      <c r="H36" s="412">
        <f>G36*$I$7+G36+25-200</f>
        <v>120000</v>
      </c>
      <c r="I36" s="412">
        <f>H36*$I$5+H36-400+5400</f>
        <v>125000</v>
      </c>
      <c r="J36" s="414">
        <f>SUM(G36:I36)</f>
        <v>360000</v>
      </c>
      <c r="K36" s="189">
        <f t="shared" si="6"/>
        <v>360000</v>
      </c>
    </row>
    <row r="37" spans="1:11">
      <c r="A37" s="417"/>
      <c r="B37" s="418" t="s">
        <v>364</v>
      </c>
      <c r="C37" s="412">
        <v>13280.89</v>
      </c>
      <c r="D37" s="412">
        <v>5592.99</v>
      </c>
      <c r="E37" s="412">
        <v>0</v>
      </c>
      <c r="F37" s="412">
        <v>51900</v>
      </c>
      <c r="G37" s="413"/>
      <c r="H37" s="412"/>
      <c r="I37" s="412"/>
      <c r="J37" s="414"/>
      <c r="K37" s="189">
        <f t="shared" si="6"/>
        <v>0</v>
      </c>
    </row>
    <row r="38" spans="1:11">
      <c r="A38" s="514" t="s">
        <v>365</v>
      </c>
      <c r="B38" s="515"/>
      <c r="C38" s="409">
        <f t="shared" ref="C38:I38" si="12">C39</f>
        <v>634126.16</v>
      </c>
      <c r="D38" s="409">
        <f t="shared" si="12"/>
        <v>746351.54</v>
      </c>
      <c r="E38" s="409">
        <f t="shared" si="12"/>
        <v>1051838.3500000001</v>
      </c>
      <c r="F38" s="419">
        <f t="shared" si="12"/>
        <v>858073.14</v>
      </c>
      <c r="G38" s="420">
        <f t="shared" si="12"/>
        <v>977999.99500000011</v>
      </c>
      <c r="H38" s="419">
        <f t="shared" si="12"/>
        <v>1022000.0047750002</v>
      </c>
      <c r="I38" s="419">
        <f t="shared" si="12"/>
        <v>1067000.0047750003</v>
      </c>
      <c r="J38" s="414">
        <f>SUM(G38:I38)</f>
        <v>3067000.0045500007</v>
      </c>
      <c r="K38" s="189">
        <f t="shared" si="6"/>
        <v>3067000.0045500007</v>
      </c>
    </row>
    <row r="39" spans="1:11">
      <c r="A39" s="417"/>
      <c r="B39" s="418" t="s">
        <v>366</v>
      </c>
      <c r="C39" s="412">
        <v>634126.16</v>
      </c>
      <c r="D39" s="412">
        <v>746351.54</v>
      </c>
      <c r="E39" s="412">
        <v>1051838.3500000001</v>
      </c>
      <c r="F39" s="412">
        <v>858073.14</v>
      </c>
      <c r="G39" s="413">
        <f>(F39+E39)/2-47355.75-1600+72000</f>
        <v>977999.99500000011</v>
      </c>
      <c r="H39" s="412">
        <f>G39*$I$7+G39-9.99</f>
        <v>1022000.0047750002</v>
      </c>
      <c r="I39" s="412">
        <f>H39*$I$5+H39-990-10+46000</f>
        <v>1067000.0047750003</v>
      </c>
      <c r="J39" s="414">
        <f t="shared" ref="J39" si="13">SUM(G39:I39)</f>
        <v>3067000.0045500007</v>
      </c>
      <c r="K39" s="189">
        <f t="shared" si="6"/>
        <v>3067000.0045500007</v>
      </c>
    </row>
    <row r="40" spans="1:11">
      <c r="A40" s="490" t="s">
        <v>367</v>
      </c>
      <c r="B40" s="421"/>
      <c r="C40" s="422">
        <v>55534.43</v>
      </c>
      <c r="D40" s="422">
        <v>61368</v>
      </c>
      <c r="E40" s="422">
        <v>52508.1</v>
      </c>
      <c r="F40" s="422">
        <v>89717.85</v>
      </c>
      <c r="G40" s="423">
        <f>F40-E40+F40-6927.6</f>
        <v>120000</v>
      </c>
      <c r="H40" s="422">
        <f>G40*$I$5+G40-400+5400</f>
        <v>125000</v>
      </c>
      <c r="I40" s="422">
        <f>H40*$I$7+H40-625</f>
        <v>130000</v>
      </c>
      <c r="J40" s="414">
        <f>SUM(G40:I40)</f>
        <v>375000</v>
      </c>
      <c r="K40" s="189">
        <f t="shared" si="6"/>
        <v>375000</v>
      </c>
    </row>
    <row r="41" spans="1:11">
      <c r="A41" s="424" t="s">
        <v>163</v>
      </c>
      <c r="B41" s="421"/>
      <c r="C41" s="422">
        <v>20715.45</v>
      </c>
      <c r="D41" s="422">
        <v>33412.080000000002</v>
      </c>
      <c r="E41" s="422">
        <v>86582.61</v>
      </c>
      <c r="F41" s="422">
        <v>36656.269999999997</v>
      </c>
      <c r="G41" s="423">
        <f>36000</f>
        <v>36000</v>
      </c>
      <c r="H41" s="422">
        <f>G41*$I$7+G41-620</f>
        <v>37000</v>
      </c>
      <c r="I41" s="422">
        <f>H41*$I$7+H41-65+400</f>
        <v>39000</v>
      </c>
      <c r="J41" s="414">
        <f>SUM(G41:I41)</f>
        <v>112000</v>
      </c>
      <c r="K41" s="189">
        <f t="shared" si="6"/>
        <v>112000</v>
      </c>
    </row>
    <row r="42" spans="1:11">
      <c r="A42" s="424" t="s">
        <v>368</v>
      </c>
      <c r="B42" s="421"/>
      <c r="C42" s="422">
        <v>242060.62</v>
      </c>
      <c r="D42" s="422">
        <v>499134.36</v>
      </c>
      <c r="E42" s="422">
        <v>1433708.3</v>
      </c>
      <c r="F42" s="422">
        <v>181578.05</v>
      </c>
      <c r="G42" s="423">
        <v>182000</v>
      </c>
      <c r="H42" s="422">
        <f>G42*$I$7+G42-190</f>
        <v>190000</v>
      </c>
      <c r="I42" s="422">
        <f>H42*$I$5+H42-550+8550</f>
        <v>198000</v>
      </c>
      <c r="J42" s="414">
        <f>SUM(G42:I42)</f>
        <v>570000</v>
      </c>
      <c r="K42" s="189">
        <f t="shared" si="6"/>
        <v>570000</v>
      </c>
    </row>
    <row r="43" spans="1:11">
      <c r="A43" s="491" t="s">
        <v>369</v>
      </c>
      <c r="B43" s="492" t="s">
        <v>447</v>
      </c>
      <c r="C43" s="422">
        <v>-1458891.86</v>
      </c>
      <c r="D43" s="422">
        <v>-1736254.48</v>
      </c>
      <c r="E43" s="422">
        <v>-2343333.17</v>
      </c>
      <c r="F43" s="422">
        <v>-2165097.38</v>
      </c>
      <c r="G43" s="423">
        <f>F43*$I$7+F43+526.76</f>
        <v>-2262000.0021000002</v>
      </c>
      <c r="H43" s="422">
        <f>G43*$I$7+G43+790</f>
        <v>-2363000.0021945001</v>
      </c>
      <c r="I43" s="422">
        <f>H43*$I$7+H43-56420+555+200-2000</f>
        <v>-2527000.0022932524</v>
      </c>
      <c r="J43" s="425">
        <f>SUM(G43:I43)+0.01</f>
        <v>-7151999.9965877524</v>
      </c>
      <c r="K43" s="189">
        <f t="shared" si="6"/>
        <v>-7152000.0065877521</v>
      </c>
    </row>
    <row r="44" spans="1:11">
      <c r="A44" s="403"/>
      <c r="B44" s="403" t="s">
        <v>370</v>
      </c>
      <c r="C44" s="426">
        <f>C10+C14+C16+C21+C41+C42+C43</f>
        <v>7921844.4499999983</v>
      </c>
      <c r="D44" s="426">
        <f>D10+D14+D16+D21+D41+D42+D43</f>
        <v>9642934.7799999975</v>
      </c>
      <c r="E44" s="426">
        <f>E10+E14+E16+E21+E41+E42+E43</f>
        <v>12718658.07</v>
      </c>
      <c r="F44" s="426">
        <f>F10+F14+F16+F21+F42+F43+F41</f>
        <v>11753930.571000002</v>
      </c>
      <c r="G44" s="426">
        <f>G10+G14+G16+G21+G42+G43+G41+G40+0.01</f>
        <v>12100000.000733335</v>
      </c>
      <c r="H44" s="426">
        <f>H10+H14+H16+H21+H42+H43+H41+H40</f>
        <v>12600000.000316335</v>
      </c>
      <c r="I44" s="426">
        <f>I10+I14+I16+I21+I42+I43+I41+I40</f>
        <v>13100000.000115693</v>
      </c>
      <c r="J44" s="427">
        <f>SUM(G44:I44)</f>
        <v>37800000.00116536</v>
      </c>
      <c r="K44" s="428">
        <f t="shared" si="6"/>
        <v>37800000.00116536</v>
      </c>
    </row>
    <row r="45" spans="1:11" ht="13.5" thickBot="1">
      <c r="A45" s="190"/>
      <c r="B45" s="190"/>
      <c r="C45" s="190"/>
      <c r="D45" s="190"/>
      <c r="E45" s="190"/>
      <c r="F45" s="190"/>
      <c r="G45" s="190"/>
      <c r="H45" s="190"/>
      <c r="I45" s="190"/>
      <c r="J45" s="190"/>
      <c r="K45" s="190"/>
    </row>
    <row r="46" spans="1:11" ht="13.5" thickBot="1">
      <c r="A46" s="190"/>
      <c r="B46" s="442"/>
      <c r="C46" s="509" t="s">
        <v>448</v>
      </c>
      <c r="D46" s="510"/>
      <c r="E46" s="511"/>
      <c r="F46" s="509" t="s">
        <v>449</v>
      </c>
      <c r="G46" s="510"/>
      <c r="H46" s="510"/>
      <c r="I46" s="511"/>
      <c r="J46" s="190"/>
      <c r="K46" s="190"/>
    </row>
    <row r="47" spans="1:11" ht="13.5" thickBot="1">
      <c r="A47" s="190"/>
      <c r="B47" s="429"/>
      <c r="C47" s="458">
        <v>2009</v>
      </c>
      <c r="D47" s="458">
        <v>2010</v>
      </c>
      <c r="E47" s="430">
        <v>2011</v>
      </c>
      <c r="F47" s="431">
        <v>2012</v>
      </c>
      <c r="G47" s="432" t="s">
        <v>552</v>
      </c>
      <c r="H47" s="433" t="s">
        <v>553</v>
      </c>
      <c r="I47" s="434" t="s">
        <v>588</v>
      </c>
      <c r="J47" s="190"/>
      <c r="K47" s="190"/>
    </row>
    <row r="48" spans="1:11" ht="13.5" thickBot="1">
      <c r="A48" s="190"/>
      <c r="B48" s="435" t="s">
        <v>554</v>
      </c>
      <c r="C48" s="436">
        <f t="shared" ref="C48:D48" si="14">C49+C50</f>
        <v>7869828.0800000001</v>
      </c>
      <c r="D48" s="436">
        <f t="shared" si="14"/>
        <v>9503346</v>
      </c>
      <c r="E48" s="436">
        <f t="shared" ref="E48" si="15">E49+E50</f>
        <v>11232501</v>
      </c>
      <c r="F48" s="436">
        <f t="shared" ref="F48" si="16">F49+F50</f>
        <v>13317879</v>
      </c>
      <c r="G48" s="437">
        <f t="shared" ref="G48:I48" si="17">G49+G50</f>
        <v>11979000.311499998</v>
      </c>
      <c r="H48" s="437">
        <f t="shared" si="17"/>
        <v>12473999.824115749</v>
      </c>
      <c r="I48" s="437">
        <f t="shared" si="17"/>
        <v>12968999.816992437</v>
      </c>
      <c r="J48" s="190"/>
      <c r="K48" s="190"/>
    </row>
    <row r="49" spans="1:13" ht="13.5" thickBot="1">
      <c r="A49" s="190"/>
      <c r="B49" s="438" t="s">
        <v>450</v>
      </c>
      <c r="C49" s="439">
        <v>6474780.46</v>
      </c>
      <c r="D49" s="439">
        <v>7216471</v>
      </c>
      <c r="E49" s="439">
        <v>8149092</v>
      </c>
      <c r="F49" s="439">
        <f>9660936</f>
        <v>9660936</v>
      </c>
      <c r="G49" s="439">
        <f>F49*1.045-427788-890</f>
        <v>9667000.1199999992</v>
      </c>
      <c r="H49" s="439">
        <f>G49*1.0405-514+11000</f>
        <v>10068999.62486</v>
      </c>
      <c r="I49" s="439">
        <f>H49*1.0405+37611+2-407</f>
        <v>10514000.10966683</v>
      </c>
      <c r="J49" s="190"/>
      <c r="K49" s="190"/>
    </row>
    <row r="50" spans="1:13" ht="13.5" thickBot="1">
      <c r="A50" s="190"/>
      <c r="B50" s="440" t="s">
        <v>451</v>
      </c>
      <c r="C50" s="441">
        <v>1395047.62</v>
      </c>
      <c r="D50" s="441">
        <v>2286875</v>
      </c>
      <c r="E50" s="441">
        <v>3083409</v>
      </c>
      <c r="F50" s="441">
        <v>3656943</v>
      </c>
      <c r="G50" s="441">
        <f>F50*1.0405-900-1492039-110</f>
        <v>2312000.1914999997</v>
      </c>
      <c r="H50" s="441">
        <f>G50*1.0405-636</f>
        <v>2405000.1992557496</v>
      </c>
      <c r="I50" s="441">
        <f>H50*1.0405-818-585-46000</f>
        <v>2454999.7073256075</v>
      </c>
      <c r="J50" s="190"/>
      <c r="K50" s="190"/>
    </row>
    <row r="51" spans="1:13">
      <c r="A51" s="190"/>
      <c r="B51" s="190"/>
      <c r="C51" s="190"/>
      <c r="D51" s="190"/>
      <c r="E51" s="190"/>
      <c r="F51" s="190"/>
      <c r="G51" s="190"/>
      <c r="H51" s="190"/>
      <c r="I51" s="190"/>
      <c r="J51" s="190"/>
      <c r="K51" s="190"/>
    </row>
    <row r="52" spans="1:13">
      <c r="A52" s="190" t="s">
        <v>371</v>
      </c>
      <c r="B52" s="190"/>
      <c r="C52" s="191"/>
      <c r="D52" s="191"/>
      <c r="E52" s="191"/>
      <c r="F52" s="190"/>
      <c r="G52" s="190"/>
      <c r="H52" s="190"/>
      <c r="I52" s="190"/>
      <c r="J52" s="190"/>
      <c r="K52" s="190"/>
    </row>
    <row r="53" spans="1:13">
      <c r="A53" s="190"/>
      <c r="B53" s="190"/>
      <c r="C53" s="190"/>
      <c r="D53" s="190"/>
      <c r="E53" s="190"/>
      <c r="F53" s="190"/>
      <c r="G53" s="190"/>
      <c r="H53" s="190"/>
      <c r="I53" s="190"/>
      <c r="J53" s="190"/>
      <c r="K53" s="190"/>
    </row>
    <row r="54" spans="1:13">
      <c r="B54" s="192" t="s">
        <v>590</v>
      </c>
    </row>
    <row r="55" spans="1:13">
      <c r="B55" s="179" t="s">
        <v>589</v>
      </c>
    </row>
    <row r="56" spans="1:13" ht="52.5" customHeight="1">
      <c r="B56" s="502" t="s">
        <v>591</v>
      </c>
      <c r="C56" s="502"/>
      <c r="D56" s="502"/>
      <c r="E56" s="502"/>
      <c r="F56" s="502"/>
      <c r="G56" s="502"/>
      <c r="H56" s="502"/>
    </row>
    <row r="57" spans="1:13">
      <c r="B57" s="193" t="s">
        <v>373</v>
      </c>
      <c r="C57" s="193"/>
      <c r="D57" s="193"/>
      <c r="E57" s="193"/>
      <c r="F57" s="193"/>
      <c r="G57" s="193"/>
      <c r="H57" s="193"/>
    </row>
    <row r="58" spans="1:13">
      <c r="B58" s="192" t="s">
        <v>600</v>
      </c>
    </row>
    <row r="59" spans="1:13">
      <c r="B59" s="192" t="s">
        <v>598</v>
      </c>
    </row>
    <row r="60" spans="1:13">
      <c r="B60" s="192" t="s">
        <v>374</v>
      </c>
    </row>
    <row r="61" spans="1:13" ht="24.75" customHeight="1">
      <c r="B61" s="502" t="s">
        <v>599</v>
      </c>
      <c r="C61" s="502"/>
      <c r="D61" s="502"/>
      <c r="E61" s="502"/>
      <c r="F61" s="502"/>
      <c r="G61" s="502"/>
      <c r="H61" s="502"/>
      <c r="I61" s="502"/>
      <c r="J61" s="502"/>
      <c r="K61" s="502"/>
      <c r="L61" s="502"/>
      <c r="M61" s="502"/>
    </row>
    <row r="63" spans="1:13" ht="16.5" customHeight="1">
      <c r="B63" s="111" t="s">
        <v>592</v>
      </c>
      <c r="C63" s="111"/>
      <c r="D63" s="112"/>
      <c r="E63" s="112"/>
      <c r="F63" s="112"/>
      <c r="G63" s="112"/>
      <c r="H63" s="112"/>
      <c r="I63" s="112"/>
      <c r="J63" s="112"/>
      <c r="K63" s="112"/>
    </row>
    <row r="64" spans="1:13">
      <c r="B64" s="450" t="s">
        <v>605</v>
      </c>
    </row>
    <row r="65" spans="2:5">
      <c r="B65" s="19" t="s">
        <v>555</v>
      </c>
    </row>
    <row r="66" spans="2:5">
      <c r="B66" s="19" t="s">
        <v>556</v>
      </c>
    </row>
    <row r="67" spans="2:5">
      <c r="B67" s="19" t="s">
        <v>557</v>
      </c>
      <c r="C67" s="501"/>
      <c r="D67" s="501"/>
    </row>
    <row r="68" spans="2:5">
      <c r="B68" s="19" t="s">
        <v>594</v>
      </c>
      <c r="C68" s="501"/>
      <c r="D68" s="501"/>
    </row>
    <row r="69" spans="2:5">
      <c r="B69" s="19" t="s">
        <v>595</v>
      </c>
      <c r="C69" s="501"/>
      <c r="D69" s="501"/>
    </row>
    <row r="70" spans="2:5">
      <c r="B70" s="19" t="s">
        <v>596</v>
      </c>
    </row>
    <row r="71" spans="2:5">
      <c r="B71" s="19"/>
    </row>
    <row r="72" spans="2:5">
      <c r="B72" s="452" t="s">
        <v>606</v>
      </c>
    </row>
    <row r="73" spans="2:5">
      <c r="B73" s="19" t="s">
        <v>558</v>
      </c>
    </row>
    <row r="74" spans="2:5">
      <c r="B74" s="19" t="s">
        <v>559</v>
      </c>
    </row>
    <row r="75" spans="2:5">
      <c r="B75" s="19" t="s">
        <v>560</v>
      </c>
    </row>
    <row r="76" spans="2:5">
      <c r="B76" s="19" t="s">
        <v>561</v>
      </c>
    </row>
    <row r="77" spans="2:5">
      <c r="B77" s="360" t="s">
        <v>597</v>
      </c>
    </row>
    <row r="78" spans="2:5">
      <c r="B78" s="451"/>
    </row>
    <row r="80" spans="2:5" ht="12.75" customHeight="1">
      <c r="B80" s="114" t="s">
        <v>380</v>
      </c>
      <c r="C80" s="113"/>
      <c r="D80" s="113"/>
      <c r="E80" s="113"/>
    </row>
    <row r="81" spans="2:7">
      <c r="B81" s="111" t="s">
        <v>381</v>
      </c>
      <c r="C81" s="111"/>
      <c r="D81" s="111"/>
      <c r="E81" s="194"/>
    </row>
    <row r="82" spans="2:7">
      <c r="B82" s="109" t="s">
        <v>593</v>
      </c>
    </row>
    <row r="83" spans="2:7">
      <c r="B83" s="179" t="s">
        <v>440</v>
      </c>
    </row>
    <row r="84" spans="2:7">
      <c r="B84" s="179" t="s">
        <v>452</v>
      </c>
    </row>
    <row r="85" spans="2:7">
      <c r="B85" s="179" t="s">
        <v>631</v>
      </c>
    </row>
    <row r="89" spans="2:7">
      <c r="B89" s="179" t="s">
        <v>375</v>
      </c>
      <c r="D89" s="179" t="s">
        <v>377</v>
      </c>
      <c r="G89" s="179" t="s">
        <v>584</v>
      </c>
    </row>
    <row r="90" spans="2:7">
      <c r="B90" s="179" t="s">
        <v>376</v>
      </c>
      <c r="D90" s="179" t="s">
        <v>378</v>
      </c>
      <c r="G90" s="179" t="s">
        <v>379</v>
      </c>
    </row>
    <row r="92" spans="2:7">
      <c r="B92" s="195"/>
    </row>
  </sheetData>
  <mergeCells count="19">
    <mergeCell ref="C46:E46"/>
    <mergeCell ref="F46:I46"/>
    <mergeCell ref="A10:B10"/>
    <mergeCell ref="A14:B14"/>
    <mergeCell ref="A16:B16"/>
    <mergeCell ref="A21:B21"/>
    <mergeCell ref="A22:B22"/>
    <mergeCell ref="A31:B31"/>
    <mergeCell ref="A38:B38"/>
    <mergeCell ref="A8:B9"/>
    <mergeCell ref="A1:J1"/>
    <mergeCell ref="A2:H2"/>
    <mergeCell ref="A3:J3"/>
    <mergeCell ref="A5:J5"/>
    <mergeCell ref="C69:D69"/>
    <mergeCell ref="B61:M61"/>
    <mergeCell ref="C67:D67"/>
    <mergeCell ref="C68:D68"/>
    <mergeCell ref="B56:H56"/>
  </mergeCells>
  <phoneticPr fontId="6" type="noConversion"/>
  <pageMargins left="0.78740157499999996" right="0.78740157499999996" top="0.984251969" bottom="0.984251969" header="0.49212598499999999" footer="0.49212598499999999"/>
  <pageSetup paperSize="9" scale="70" orientation="landscape" verticalDpi="0" r:id="rId1"/>
  <headerFooter alignWithMargins="0">
    <oddHeader>&amp;L&amp;12ESTADO DO RIO GRANDE DO SUL
PREFEITURA MUNICIPAL DE BOA VISTA DO CADEADO</oddHeader>
  </headerFooter>
  <drawing r:id="rId2"/>
</worksheet>
</file>

<file path=xl/worksheets/sheet10.xml><?xml version="1.0" encoding="utf-8"?>
<worksheet xmlns="http://schemas.openxmlformats.org/spreadsheetml/2006/main" xmlns:r="http://schemas.openxmlformats.org/officeDocument/2006/relationships">
  <sheetPr codeName="Plan23"/>
  <dimension ref="A1:H43"/>
  <sheetViews>
    <sheetView view="pageLayout" zoomScaleNormal="100" workbookViewId="0">
      <selection activeCell="D19" sqref="D19"/>
    </sheetView>
  </sheetViews>
  <sheetFormatPr defaultRowHeight="11.25" customHeight="1"/>
  <cols>
    <col min="1" max="1" width="52.42578125" style="105" customWidth="1"/>
    <col min="2" max="2" width="17.5703125" style="105" customWidth="1"/>
    <col min="3" max="3" width="17.7109375" style="105" customWidth="1"/>
    <col min="4" max="4" width="18.85546875" style="105" customWidth="1"/>
    <col min="5" max="16384" width="9.140625" style="105"/>
  </cols>
  <sheetData>
    <row r="1" spans="1:8" ht="11.25" customHeight="1">
      <c r="A1" s="2"/>
      <c r="B1" s="2"/>
      <c r="C1" s="2"/>
      <c r="D1" s="2"/>
    </row>
    <row r="2" spans="1:8" ht="11.25" customHeight="1">
      <c r="A2" s="7"/>
      <c r="B2" s="8"/>
      <c r="C2" s="8"/>
      <c r="D2" s="9"/>
    </row>
    <row r="3" spans="1:8" ht="11.25" customHeight="1">
      <c r="A3" s="7"/>
      <c r="B3" s="8"/>
      <c r="C3" s="8"/>
      <c r="D3" s="9"/>
    </row>
    <row r="4" spans="1:8" ht="11.25" customHeight="1">
      <c r="A4" s="573" t="s">
        <v>81</v>
      </c>
      <c r="B4" s="574"/>
      <c r="C4" s="574"/>
      <c r="D4" s="574"/>
      <c r="E4" s="574"/>
      <c r="F4" s="574"/>
      <c r="G4" s="277"/>
      <c r="H4" s="277"/>
    </row>
    <row r="5" spans="1:8" ht="11.25" customHeight="1">
      <c r="A5" s="573" t="s">
        <v>82</v>
      </c>
      <c r="B5" s="574"/>
      <c r="C5" s="574"/>
      <c r="D5" s="574"/>
      <c r="E5" s="574"/>
      <c r="F5" s="574"/>
      <c r="G5" s="277"/>
      <c r="H5" s="277"/>
    </row>
    <row r="6" spans="1:8" ht="11.25" customHeight="1">
      <c r="A6" s="573" t="s">
        <v>258</v>
      </c>
      <c r="B6" s="574"/>
      <c r="C6" s="574"/>
      <c r="D6" s="574"/>
      <c r="E6" s="574"/>
      <c r="F6" s="574"/>
      <c r="G6" s="277"/>
      <c r="H6" s="277"/>
    </row>
    <row r="7" spans="1:8" ht="11.25" customHeight="1">
      <c r="A7" s="573" t="s">
        <v>259</v>
      </c>
      <c r="B7" s="574"/>
      <c r="C7" s="574"/>
      <c r="D7" s="574"/>
      <c r="E7" s="574"/>
      <c r="F7" s="574"/>
      <c r="G7" s="277"/>
      <c r="H7" s="277"/>
    </row>
    <row r="8" spans="1:8" ht="11.25" customHeight="1">
      <c r="A8" s="595">
        <v>2013</v>
      </c>
      <c r="B8" s="574"/>
      <c r="C8" s="574"/>
      <c r="D8" s="574"/>
      <c r="E8" s="574"/>
      <c r="F8" s="574"/>
      <c r="G8" s="277"/>
      <c r="H8" s="277"/>
    </row>
    <row r="9" spans="1:8" ht="11.25" customHeight="1">
      <c r="A9" s="7"/>
      <c r="B9" s="8"/>
      <c r="C9" s="8"/>
      <c r="D9" s="9"/>
    </row>
    <row r="10" spans="1:8" ht="11.25" customHeight="1">
      <c r="A10" s="65" t="s">
        <v>30</v>
      </c>
      <c r="B10" s="65"/>
      <c r="C10" s="65"/>
      <c r="D10" s="66">
        <v>1</v>
      </c>
    </row>
    <row r="11" spans="1:8" ht="11.25" customHeight="1">
      <c r="A11" s="592" t="s">
        <v>56</v>
      </c>
      <c r="B11" s="590" t="s">
        <v>613</v>
      </c>
      <c r="C11" s="590" t="s">
        <v>612</v>
      </c>
      <c r="D11" s="321">
        <v>2009</v>
      </c>
    </row>
    <row r="12" spans="1:8" ht="15.75" customHeight="1">
      <c r="A12" s="593"/>
      <c r="B12" s="591"/>
      <c r="C12" s="591"/>
      <c r="D12" s="322" t="s">
        <v>260</v>
      </c>
    </row>
    <row r="13" spans="1:8" ht="12.6" customHeight="1">
      <c r="A13" s="323" t="s">
        <v>266</v>
      </c>
      <c r="B13" s="324"/>
      <c r="C13" s="324"/>
      <c r="D13" s="325"/>
    </row>
    <row r="14" spans="1:8" ht="11.25" customHeight="1">
      <c r="A14" s="323" t="s">
        <v>70</v>
      </c>
      <c r="B14" s="326">
        <v>0</v>
      </c>
      <c r="C14" s="326">
        <v>246384.5</v>
      </c>
      <c r="D14" s="327">
        <v>0</v>
      </c>
    </row>
    <row r="15" spans="1:8" ht="12.6" customHeight="1">
      <c r="A15" s="328" t="s">
        <v>71</v>
      </c>
      <c r="B15" s="329"/>
      <c r="C15" s="329"/>
      <c r="D15" s="330"/>
    </row>
    <row r="16" spans="1:8" ht="11.25" customHeight="1">
      <c r="A16" s="328" t="s">
        <v>76</v>
      </c>
      <c r="B16" s="331"/>
      <c r="C16" s="331"/>
      <c r="D16" s="332"/>
    </row>
    <row r="17" spans="1:4" ht="11.25" customHeight="1">
      <c r="A17" s="594"/>
      <c r="B17" s="594"/>
      <c r="C17" s="594"/>
      <c r="D17" s="594"/>
    </row>
    <row r="18" spans="1:4" ht="11.25" customHeight="1">
      <c r="A18" s="531" t="s">
        <v>267</v>
      </c>
      <c r="B18" s="320">
        <v>2011</v>
      </c>
      <c r="C18" s="320">
        <v>2010</v>
      </c>
      <c r="D18" s="333">
        <v>2009</v>
      </c>
    </row>
    <row r="19" spans="1:4" ht="15.75" customHeight="1">
      <c r="A19" s="533"/>
      <c r="B19" s="334" t="s">
        <v>261</v>
      </c>
      <c r="C19" s="335" t="s">
        <v>72</v>
      </c>
      <c r="D19" s="336" t="s">
        <v>262</v>
      </c>
    </row>
    <row r="20" spans="1:4" ht="13.9" customHeight="1">
      <c r="A20" s="337" t="s">
        <v>268</v>
      </c>
      <c r="B20" s="323"/>
      <c r="C20" s="323"/>
      <c r="D20" s="338"/>
    </row>
    <row r="21" spans="1:4" ht="11.25" customHeight="1">
      <c r="A21" s="323" t="s">
        <v>108</v>
      </c>
      <c r="B21" s="323"/>
      <c r="C21" s="323"/>
      <c r="D21" s="338"/>
    </row>
    <row r="22" spans="1:4" ht="11.25" customHeight="1">
      <c r="A22" s="323" t="s">
        <v>109</v>
      </c>
      <c r="B22" s="346">
        <v>0</v>
      </c>
      <c r="C22" s="326">
        <v>246384.5</v>
      </c>
      <c r="D22" s="446">
        <v>0</v>
      </c>
    </row>
    <row r="23" spans="1:4" ht="11.25" customHeight="1">
      <c r="A23" s="323" t="s">
        <v>110</v>
      </c>
      <c r="B23" s="323"/>
      <c r="C23" s="323"/>
      <c r="D23" s="338"/>
    </row>
    <row r="24" spans="1:4" ht="11.25" customHeight="1">
      <c r="A24" s="323" t="s">
        <v>10</v>
      </c>
      <c r="B24" s="323"/>
      <c r="C24" s="323"/>
      <c r="D24" s="338"/>
    </row>
    <row r="25" spans="1:4" ht="11.25" customHeight="1">
      <c r="A25" s="323" t="s">
        <v>111</v>
      </c>
      <c r="B25" s="323"/>
      <c r="C25" s="323"/>
      <c r="D25" s="338"/>
    </row>
    <row r="26" spans="1:4" ht="11.25" customHeight="1">
      <c r="A26" s="323" t="s">
        <v>112</v>
      </c>
      <c r="B26" s="323"/>
      <c r="C26" s="323"/>
      <c r="D26" s="338"/>
    </row>
    <row r="27" spans="1:4" ht="12.6" customHeight="1">
      <c r="A27" s="328" t="s">
        <v>93</v>
      </c>
      <c r="B27" s="328"/>
      <c r="C27" s="328"/>
      <c r="D27" s="339"/>
    </row>
    <row r="28" spans="1:4" ht="11.25" customHeight="1" thickBot="1">
      <c r="A28" s="340" t="s">
        <v>6</v>
      </c>
      <c r="B28" s="456">
        <f>B14-B22</f>
        <v>0</v>
      </c>
      <c r="C28" s="340"/>
      <c r="D28" s="341"/>
    </row>
    <row r="29" spans="1:4" ht="11.25" customHeight="1" thickBot="1">
      <c r="A29" s="342" t="s">
        <v>7</v>
      </c>
      <c r="B29" s="343" t="s">
        <v>263</v>
      </c>
      <c r="C29" s="344" t="s">
        <v>264</v>
      </c>
      <c r="D29" s="344" t="s">
        <v>265</v>
      </c>
    </row>
    <row r="30" spans="1:4" ht="11.25" customHeight="1" thickBot="1">
      <c r="A30" s="342" t="s">
        <v>269</v>
      </c>
      <c r="B30" s="345"/>
      <c r="C30" s="345"/>
      <c r="D30" s="345"/>
    </row>
    <row r="31" spans="1:4" ht="11.25" customHeight="1">
      <c r="A31" s="578" t="s">
        <v>399</v>
      </c>
      <c r="B31" s="578"/>
      <c r="C31" s="578"/>
      <c r="D31" s="578"/>
    </row>
    <row r="33" spans="1:7" ht="11.25" customHeight="1">
      <c r="A33" s="588" t="s">
        <v>566</v>
      </c>
      <c r="B33" s="589"/>
      <c r="C33" s="589"/>
      <c r="D33" s="589"/>
    </row>
    <row r="34" spans="1:7" ht="16.5" customHeight="1">
      <c r="A34" s="589"/>
      <c r="B34" s="589"/>
      <c r="C34" s="589"/>
      <c r="D34" s="589"/>
    </row>
    <row r="36" spans="1:7" ht="11.25" customHeight="1">
      <c r="A36" s="181" t="s">
        <v>632</v>
      </c>
      <c r="B36" s="181"/>
      <c r="C36" s="306"/>
      <c r="D36" s="182"/>
      <c r="E36" s="179"/>
      <c r="F36" s="179"/>
      <c r="G36" s="179"/>
    </row>
    <row r="37" spans="1:7" ht="11.25" customHeight="1">
      <c r="A37" s="181"/>
      <c r="B37" s="181"/>
      <c r="C37" s="306"/>
      <c r="D37" s="183"/>
      <c r="E37" s="179"/>
      <c r="F37" s="179"/>
      <c r="G37" s="179"/>
    </row>
    <row r="38" spans="1:7" ht="11.25" customHeight="1">
      <c r="A38" s="181"/>
      <c r="B38" s="181"/>
      <c r="C38" s="306"/>
      <c r="D38" s="183"/>
      <c r="E38" s="179"/>
      <c r="F38" s="179"/>
      <c r="G38" s="179"/>
    </row>
    <row r="39" spans="1:7" ht="11.25" customHeight="1">
      <c r="A39" s="181"/>
      <c r="B39" s="181"/>
      <c r="C39" s="306"/>
      <c r="D39" s="183"/>
      <c r="E39" s="179"/>
      <c r="F39" s="179"/>
      <c r="G39" s="179"/>
    </row>
    <row r="40" spans="1:7" ht="11.25" customHeight="1">
      <c r="A40" s="183" t="s">
        <v>401</v>
      </c>
      <c r="B40" s="182"/>
      <c r="C40" s="182" t="s">
        <v>604</v>
      </c>
      <c r="D40" s="179"/>
    </row>
    <row r="41" spans="1:7" ht="11.25" customHeight="1">
      <c r="A41" s="181" t="s">
        <v>402</v>
      </c>
      <c r="B41" s="184"/>
      <c r="C41" s="184" t="s">
        <v>390</v>
      </c>
      <c r="D41" s="179"/>
    </row>
    <row r="42" spans="1:7" ht="11.25" customHeight="1">
      <c r="A42" s="1"/>
      <c r="B42" s="1"/>
      <c r="C42" s="1"/>
      <c r="D42" s="1"/>
      <c r="E42" s="1"/>
      <c r="F42" s="1"/>
      <c r="G42" s="1"/>
    </row>
    <row r="43" spans="1:7" ht="11.25" customHeight="1">
      <c r="A43" s="1"/>
      <c r="B43" s="1"/>
      <c r="C43" s="1"/>
      <c r="D43" s="1"/>
      <c r="E43" s="1"/>
      <c r="F43" s="1"/>
      <c r="G43" s="1"/>
    </row>
  </sheetData>
  <mergeCells count="12">
    <mergeCell ref="A6:F6"/>
    <mergeCell ref="A4:F4"/>
    <mergeCell ref="A5:F5"/>
    <mergeCell ref="A7:F7"/>
    <mergeCell ref="A8:F8"/>
    <mergeCell ref="A33:D34"/>
    <mergeCell ref="A31:D31"/>
    <mergeCell ref="A18:A19"/>
    <mergeCell ref="B11:B12"/>
    <mergeCell ref="C11:C12"/>
    <mergeCell ref="A11:A12"/>
    <mergeCell ref="A17:D17"/>
  </mergeCells>
  <phoneticPr fontId="6" type="noConversion"/>
  <pageMargins left="1.32" right="0.78740157499999996" top="0.984251969" bottom="0.984251969" header="0.49212598499999999" footer="0.49212598499999999"/>
  <pageSetup paperSize="9" scale="75" orientation="landscape" verticalDpi="1200" r:id="rId1"/>
  <headerFooter alignWithMargins="0">
    <oddHeader>&amp;LESTADO DO RIO GRANDE DO SUL
PREFEITURA MUNICIPAL DE BOA VISTA DO CADEADO</oddHeader>
  </headerFooter>
  <legacyDrawing r:id="rId2"/>
</worksheet>
</file>

<file path=xl/worksheets/sheet11.xml><?xml version="1.0" encoding="utf-8"?>
<worksheet xmlns="http://schemas.openxmlformats.org/spreadsheetml/2006/main" xmlns:r="http://schemas.openxmlformats.org/officeDocument/2006/relationships">
  <sheetPr codeName="Plan24"/>
  <dimension ref="A1:K119"/>
  <sheetViews>
    <sheetView topLeftCell="A82" workbookViewId="0">
      <selection activeCell="Q128" sqref="Q128"/>
    </sheetView>
  </sheetViews>
  <sheetFormatPr defaultRowHeight="11.25" customHeight="1"/>
  <cols>
    <col min="1" max="1" width="1.42578125" style="5" customWidth="1"/>
    <col min="2" max="2" width="12.85546875" style="5" customWidth="1"/>
    <col min="3" max="3" width="9.85546875" style="5" customWidth="1"/>
    <col min="4" max="4" width="10.140625" style="5" customWidth="1"/>
    <col min="5" max="5" width="24.42578125" style="5" customWidth="1"/>
    <col min="6" max="6" width="9.7109375" style="5" customWidth="1"/>
    <col min="7" max="7" width="10.42578125" style="5" customWidth="1"/>
    <col min="8" max="8" width="7.42578125" style="5" customWidth="1"/>
    <col min="9" max="9" width="12.85546875" style="5" hidden="1" customWidth="1"/>
    <col min="10" max="10" width="7" style="5" customWidth="1"/>
    <col min="11" max="16384" width="9.140625" style="5"/>
  </cols>
  <sheetData>
    <row r="1" spans="1:10" ht="11.25" customHeight="1">
      <c r="B1" s="605" t="s">
        <v>81</v>
      </c>
      <c r="C1" s="605"/>
      <c r="D1" s="605"/>
      <c r="E1" s="605"/>
      <c r="F1" s="605"/>
      <c r="G1" s="605"/>
      <c r="H1" s="605"/>
      <c r="I1" s="605"/>
      <c r="J1" s="605"/>
    </row>
    <row r="2" spans="1:10" ht="11.25" customHeight="1">
      <c r="B2" s="605" t="s">
        <v>82</v>
      </c>
      <c r="C2" s="605"/>
      <c r="D2" s="605"/>
      <c r="E2" s="605"/>
      <c r="F2" s="605"/>
      <c r="G2" s="605"/>
      <c r="H2" s="605"/>
      <c r="I2" s="605"/>
      <c r="J2" s="605"/>
    </row>
    <row r="3" spans="1:10" ht="11.25" customHeight="1">
      <c r="B3" s="605" t="s">
        <v>23</v>
      </c>
      <c r="C3" s="605"/>
      <c r="D3" s="605"/>
      <c r="E3" s="605"/>
      <c r="F3" s="605"/>
      <c r="G3" s="605"/>
      <c r="H3" s="605"/>
      <c r="I3" s="605"/>
      <c r="J3" s="605"/>
    </row>
    <row r="4" spans="1:10" ht="11.25" customHeight="1">
      <c r="B4" s="605" t="s">
        <v>34</v>
      </c>
      <c r="C4" s="605"/>
      <c r="D4" s="605"/>
      <c r="E4" s="605"/>
      <c r="F4" s="605"/>
      <c r="G4" s="605"/>
      <c r="H4" s="605"/>
      <c r="I4" s="605"/>
      <c r="J4" s="605"/>
    </row>
    <row r="5" spans="1:10" ht="11.25" customHeight="1">
      <c r="B5" s="605" t="s">
        <v>113</v>
      </c>
      <c r="C5" s="605"/>
      <c r="D5" s="605"/>
      <c r="E5" s="605"/>
      <c r="F5" s="605"/>
      <c r="G5" s="605"/>
      <c r="H5" s="605"/>
      <c r="I5" s="605"/>
      <c r="J5" s="605"/>
    </row>
    <row r="6" spans="1:10" ht="11.25" customHeight="1">
      <c r="B6" s="609">
        <v>2010</v>
      </c>
      <c r="C6" s="605"/>
      <c r="D6" s="605"/>
      <c r="E6" s="605"/>
      <c r="F6" s="605"/>
      <c r="G6" s="605"/>
      <c r="H6" s="605"/>
      <c r="I6" s="605"/>
      <c r="J6" s="605"/>
    </row>
    <row r="7" spans="1:10" ht="11.25" customHeight="1">
      <c r="B7" s="606"/>
      <c r="C7" s="606"/>
      <c r="D7" s="606"/>
      <c r="E7" s="606"/>
      <c r="F7" s="606"/>
      <c r="G7" s="606"/>
      <c r="H7" s="606"/>
    </row>
    <row r="8" spans="1:10" ht="13.9" customHeight="1">
      <c r="B8" s="607" t="s">
        <v>33</v>
      </c>
      <c r="C8" s="607"/>
      <c r="D8" s="607"/>
      <c r="E8" s="608"/>
      <c r="F8" s="65"/>
      <c r="G8" s="65"/>
      <c r="H8" s="66">
        <v>1</v>
      </c>
    </row>
    <row r="9" spans="1:10" ht="11.25" customHeight="1">
      <c r="B9" s="610" t="s">
        <v>126</v>
      </c>
      <c r="C9" s="611"/>
      <c r="D9" s="611"/>
      <c r="E9" s="612"/>
      <c r="F9" s="615">
        <v>2006</v>
      </c>
      <c r="G9" s="615">
        <v>2007</v>
      </c>
      <c r="H9" s="617">
        <v>2008</v>
      </c>
    </row>
    <row r="10" spans="1:10" s="6" customFormat="1" ht="11.25" customHeight="1">
      <c r="B10" s="613"/>
      <c r="C10" s="613"/>
      <c r="D10" s="613"/>
      <c r="E10" s="614"/>
      <c r="F10" s="616"/>
      <c r="G10" s="616"/>
      <c r="H10" s="613"/>
    </row>
    <row r="11" spans="1:10" ht="11.25" customHeight="1">
      <c r="B11" s="77" t="s">
        <v>270</v>
      </c>
      <c r="C11" s="71"/>
      <c r="D11" s="71"/>
      <c r="E11" s="71"/>
      <c r="F11" s="16"/>
      <c r="G11" s="16"/>
      <c r="H11" s="70"/>
    </row>
    <row r="12" spans="1:10" ht="11.25" customHeight="1">
      <c r="A12" s="10"/>
      <c r="B12" s="601" t="s">
        <v>271</v>
      </c>
      <c r="C12" s="602"/>
      <c r="D12" s="602"/>
      <c r="E12" s="602"/>
      <c r="F12" s="16"/>
      <c r="G12" s="16"/>
      <c r="H12" s="70"/>
    </row>
    <row r="13" spans="1:10" ht="11.25" customHeight="1">
      <c r="A13" s="10"/>
      <c r="B13" s="601" t="s">
        <v>272</v>
      </c>
      <c r="C13" s="602"/>
      <c r="D13" s="602"/>
      <c r="E13" s="602"/>
      <c r="F13" s="16"/>
      <c r="G13" s="16"/>
      <c r="H13" s="70"/>
    </row>
    <row r="14" spans="1:10" ht="11.25" customHeight="1">
      <c r="A14" s="10"/>
      <c r="B14" s="601" t="s">
        <v>273</v>
      </c>
      <c r="C14" s="602"/>
      <c r="D14" s="602"/>
      <c r="E14" s="602"/>
      <c r="F14" s="16"/>
      <c r="G14" s="16"/>
      <c r="H14" s="70"/>
    </row>
    <row r="15" spans="1:10" ht="11.25" customHeight="1">
      <c r="A15" s="10"/>
      <c r="B15" s="601" t="s">
        <v>274</v>
      </c>
      <c r="C15" s="602"/>
      <c r="D15" s="602"/>
      <c r="E15" s="602"/>
      <c r="F15" s="16"/>
      <c r="G15" s="16"/>
      <c r="H15" s="70"/>
    </row>
    <row r="16" spans="1:10" ht="11.25" customHeight="1">
      <c r="A16" s="10"/>
      <c r="B16" s="77" t="s">
        <v>275</v>
      </c>
      <c r="C16" s="633"/>
      <c r="D16" s="633"/>
      <c r="E16" s="633"/>
      <c r="F16" s="16"/>
      <c r="G16" s="16"/>
      <c r="H16" s="70"/>
    </row>
    <row r="17" spans="1:8" ht="11.25" customHeight="1">
      <c r="A17" s="10"/>
      <c r="B17" s="601" t="s">
        <v>276</v>
      </c>
      <c r="C17" s="602"/>
      <c r="D17" s="602"/>
      <c r="E17" s="602"/>
      <c r="F17" s="16"/>
      <c r="G17" s="16"/>
      <c r="H17" s="70"/>
    </row>
    <row r="18" spans="1:8" ht="11.25" customHeight="1">
      <c r="A18" s="10"/>
      <c r="B18" s="601" t="s">
        <v>277</v>
      </c>
      <c r="C18" s="602"/>
      <c r="D18" s="602"/>
      <c r="E18" s="602"/>
      <c r="F18" s="16"/>
      <c r="G18" s="16"/>
      <c r="H18" s="70"/>
    </row>
    <row r="19" spans="1:8" ht="11.25" customHeight="1">
      <c r="A19" s="10"/>
      <c r="B19" s="601" t="s">
        <v>278</v>
      </c>
      <c r="C19" s="602"/>
      <c r="D19" s="602"/>
      <c r="E19" s="602"/>
      <c r="F19" s="16"/>
      <c r="G19" s="16"/>
      <c r="H19" s="70"/>
    </row>
    <row r="20" spans="1:8" ht="11.25" customHeight="1">
      <c r="A20" s="10"/>
      <c r="B20" s="603" t="s">
        <v>279</v>
      </c>
      <c r="C20" s="638"/>
      <c r="D20" s="638"/>
      <c r="E20" s="638"/>
      <c r="F20" s="16"/>
      <c r="G20" s="16"/>
      <c r="H20" s="70"/>
    </row>
    <row r="21" spans="1:8" ht="11.25" customHeight="1">
      <c r="A21" s="10"/>
      <c r="B21" s="601" t="s">
        <v>280</v>
      </c>
      <c r="C21" s="602"/>
      <c r="D21" s="602"/>
      <c r="E21" s="602"/>
      <c r="F21" s="16"/>
      <c r="G21" s="16"/>
      <c r="H21" s="70"/>
    </row>
    <row r="22" spans="1:8" ht="11.25" customHeight="1">
      <c r="A22" s="10"/>
      <c r="B22" s="601" t="s">
        <v>281</v>
      </c>
      <c r="C22" s="602"/>
      <c r="D22" s="602"/>
      <c r="E22" s="602"/>
      <c r="F22" s="16"/>
      <c r="G22" s="16"/>
      <c r="H22" s="70"/>
    </row>
    <row r="23" spans="1:8" ht="11.25" customHeight="1">
      <c r="A23" s="10"/>
      <c r="B23" s="601" t="s">
        <v>282</v>
      </c>
      <c r="C23" s="602"/>
      <c r="D23" s="602"/>
      <c r="E23" s="602"/>
      <c r="F23" s="16"/>
      <c r="G23" s="16"/>
      <c r="H23" s="70"/>
    </row>
    <row r="24" spans="1:8" ht="11.25" customHeight="1">
      <c r="A24" s="10"/>
      <c r="B24" s="77" t="s">
        <v>283</v>
      </c>
      <c r="C24" s="633"/>
      <c r="D24" s="633"/>
      <c r="E24" s="633"/>
      <c r="F24" s="16"/>
      <c r="G24" s="16"/>
      <c r="H24" s="70"/>
    </row>
    <row r="25" spans="1:8" ht="11.25" customHeight="1">
      <c r="A25" s="10"/>
      <c r="B25" s="601" t="s">
        <v>284</v>
      </c>
      <c r="C25" s="602"/>
      <c r="D25" s="602"/>
      <c r="E25" s="602"/>
      <c r="F25" s="16"/>
      <c r="G25" s="16"/>
      <c r="H25" s="70"/>
    </row>
    <row r="26" spans="1:8" ht="11.25" customHeight="1">
      <c r="A26" s="10"/>
      <c r="B26" s="77" t="s">
        <v>285</v>
      </c>
      <c r="C26" s="633"/>
      <c r="D26" s="633"/>
      <c r="E26" s="633"/>
      <c r="F26" s="16"/>
      <c r="G26" s="16"/>
      <c r="H26" s="70"/>
    </row>
    <row r="27" spans="1:8" ht="11.25" customHeight="1">
      <c r="A27" s="10"/>
      <c r="B27" s="77" t="s">
        <v>286</v>
      </c>
      <c r="C27" s="72"/>
      <c r="D27" s="72"/>
      <c r="E27" s="72"/>
      <c r="F27" s="16"/>
      <c r="G27" s="16"/>
      <c r="H27" s="70"/>
    </row>
    <row r="28" spans="1:8" ht="11.25" customHeight="1">
      <c r="A28" s="10"/>
      <c r="B28" s="601" t="s">
        <v>271</v>
      </c>
      <c r="C28" s="602"/>
      <c r="D28" s="602"/>
      <c r="E28" s="602"/>
      <c r="F28" s="16"/>
      <c r="G28" s="16"/>
      <c r="H28" s="70"/>
    </row>
    <row r="29" spans="1:8" ht="11.25" customHeight="1">
      <c r="A29" s="10"/>
      <c r="B29" s="601" t="s">
        <v>287</v>
      </c>
      <c r="C29" s="602"/>
      <c r="D29" s="602"/>
      <c r="E29" s="602"/>
      <c r="F29" s="16"/>
      <c r="G29" s="16"/>
      <c r="H29" s="70"/>
    </row>
    <row r="30" spans="1:8" ht="11.25" customHeight="1">
      <c r="A30" s="10"/>
      <c r="B30" s="601" t="s">
        <v>288</v>
      </c>
      <c r="C30" s="602"/>
      <c r="D30" s="602"/>
      <c r="E30" s="602"/>
      <c r="F30" s="16"/>
      <c r="G30" s="16"/>
      <c r="H30" s="70"/>
    </row>
    <row r="31" spans="1:8" ht="11.25" customHeight="1">
      <c r="A31" s="10"/>
      <c r="B31" s="601" t="s">
        <v>289</v>
      </c>
      <c r="C31" s="602"/>
      <c r="D31" s="602"/>
      <c r="E31" s="602"/>
      <c r="F31" s="16"/>
      <c r="G31" s="16"/>
      <c r="H31" s="70"/>
    </row>
    <row r="32" spans="1:8" ht="11.25" customHeight="1">
      <c r="A32" s="10"/>
      <c r="B32" s="601" t="s">
        <v>290</v>
      </c>
      <c r="C32" s="602"/>
      <c r="D32" s="602"/>
      <c r="E32" s="602"/>
      <c r="F32" s="16"/>
      <c r="G32" s="16"/>
      <c r="H32" s="70"/>
    </row>
    <row r="33" spans="1:10" ht="11.25" customHeight="1">
      <c r="A33" s="10"/>
      <c r="B33" s="601" t="s">
        <v>291</v>
      </c>
      <c r="C33" s="602"/>
      <c r="D33" s="602"/>
      <c r="E33" s="602"/>
      <c r="F33" s="16"/>
      <c r="G33" s="16"/>
      <c r="H33" s="70"/>
    </row>
    <row r="34" spans="1:10" ht="11.25" customHeight="1">
      <c r="A34" s="10"/>
      <c r="B34" s="601" t="s">
        <v>292</v>
      </c>
      <c r="C34" s="602"/>
      <c r="D34" s="602"/>
      <c r="E34" s="602"/>
      <c r="F34" s="16"/>
      <c r="G34" s="16"/>
      <c r="H34" s="70"/>
      <c r="I34" s="10"/>
    </row>
    <row r="35" spans="1:10" ht="11.25" customHeight="1">
      <c r="A35" s="10"/>
      <c r="B35" s="601" t="s">
        <v>276</v>
      </c>
      <c r="C35" s="602"/>
      <c r="D35" s="602"/>
      <c r="E35" s="602"/>
      <c r="F35" s="16"/>
      <c r="G35" s="16"/>
      <c r="H35" s="70"/>
      <c r="I35" s="10"/>
      <c r="J35" s="10"/>
    </row>
    <row r="36" spans="1:10" ht="11.25" customHeight="1">
      <c r="A36" s="10"/>
      <c r="B36" s="603" t="s">
        <v>277</v>
      </c>
      <c r="C36" s="604"/>
      <c r="D36" s="604"/>
      <c r="E36" s="604"/>
      <c r="F36" s="16"/>
      <c r="G36" s="16"/>
      <c r="H36" s="70"/>
    </row>
    <row r="37" spans="1:10" ht="11.25" customHeight="1">
      <c r="A37" s="10"/>
      <c r="B37" s="601" t="s">
        <v>278</v>
      </c>
      <c r="C37" s="602"/>
      <c r="D37" s="602"/>
      <c r="E37" s="602"/>
      <c r="F37" s="16"/>
      <c r="G37" s="16"/>
      <c r="H37" s="70"/>
    </row>
    <row r="38" spans="1:10" ht="11.25" customHeight="1">
      <c r="A38" s="10"/>
      <c r="B38" s="601" t="s">
        <v>281</v>
      </c>
      <c r="C38" s="602"/>
      <c r="D38" s="602"/>
      <c r="E38" s="602"/>
      <c r="F38" s="16"/>
      <c r="G38" s="16"/>
      <c r="H38" s="70"/>
    </row>
    <row r="39" spans="1:10" ht="11.25" customHeight="1">
      <c r="A39" s="10"/>
      <c r="B39" s="601" t="s">
        <v>285</v>
      </c>
      <c r="C39" s="602"/>
      <c r="D39" s="602"/>
      <c r="E39" s="602"/>
      <c r="F39" s="16"/>
      <c r="G39" s="16"/>
      <c r="H39" s="70"/>
    </row>
    <row r="40" spans="1:10" ht="11.25" customHeight="1">
      <c r="A40" s="10"/>
      <c r="B40" s="618" t="s">
        <v>293</v>
      </c>
      <c r="C40" s="619"/>
      <c r="D40" s="619"/>
      <c r="E40" s="619"/>
      <c r="F40" s="17"/>
      <c r="G40" s="18"/>
      <c r="H40" s="18"/>
      <c r="I40" s="10"/>
    </row>
    <row r="41" spans="1:10" ht="11.25" customHeight="1">
      <c r="A41" s="10"/>
      <c r="B41" s="77" t="s">
        <v>294</v>
      </c>
      <c r="C41" s="71"/>
      <c r="D41" s="71"/>
      <c r="E41" s="71"/>
      <c r="F41" s="73"/>
      <c r="G41" s="73"/>
      <c r="H41" s="75"/>
    </row>
    <row r="42" spans="1:10" s="6" customFormat="1" ht="11.25" customHeight="1">
      <c r="A42" s="78"/>
      <c r="B42" s="601" t="s">
        <v>295</v>
      </c>
      <c r="C42" s="602"/>
      <c r="D42" s="602"/>
      <c r="E42" s="602"/>
      <c r="F42" s="74"/>
      <c r="G42" s="74"/>
      <c r="H42" s="76"/>
    </row>
    <row r="43" spans="1:10" ht="11.25" customHeight="1">
      <c r="A43" s="10"/>
      <c r="B43" s="601" t="s">
        <v>296</v>
      </c>
      <c r="C43" s="602"/>
      <c r="D43" s="602"/>
      <c r="E43" s="602"/>
      <c r="F43" s="16"/>
      <c r="G43" s="16"/>
      <c r="H43" s="70"/>
    </row>
    <row r="44" spans="1:10" ht="11.25" customHeight="1">
      <c r="A44" s="10"/>
      <c r="B44" s="601" t="s">
        <v>297</v>
      </c>
      <c r="C44" s="602"/>
      <c r="D44" s="602"/>
      <c r="E44" s="602"/>
      <c r="F44" s="16"/>
      <c r="G44" s="16"/>
      <c r="H44" s="70"/>
    </row>
    <row r="45" spans="1:10" ht="11.25" customHeight="1">
      <c r="A45" s="10"/>
      <c r="B45" s="601" t="s">
        <v>298</v>
      </c>
      <c r="C45" s="602"/>
      <c r="D45" s="602"/>
      <c r="E45" s="602"/>
      <c r="F45" s="16"/>
      <c r="G45" s="16"/>
      <c r="H45" s="70"/>
    </row>
    <row r="46" spans="1:10" ht="11.25" customHeight="1">
      <c r="A46" s="10"/>
      <c r="B46" s="601" t="s">
        <v>299</v>
      </c>
      <c r="C46" s="602"/>
      <c r="D46" s="602"/>
      <c r="E46" s="602"/>
      <c r="F46" s="16"/>
      <c r="G46" s="16"/>
      <c r="H46" s="70"/>
    </row>
    <row r="47" spans="1:10" ht="11.25" customHeight="1">
      <c r="A47" s="10"/>
      <c r="B47" s="601" t="s">
        <v>300</v>
      </c>
      <c r="C47" s="602"/>
      <c r="D47" s="602"/>
      <c r="E47" s="602"/>
      <c r="F47" s="16"/>
      <c r="G47" s="16"/>
      <c r="H47" s="70"/>
    </row>
    <row r="48" spans="1:10" ht="11.25" customHeight="1">
      <c r="A48" s="10"/>
      <c r="B48" s="601" t="s">
        <v>301</v>
      </c>
      <c r="C48" s="602"/>
      <c r="D48" s="602"/>
      <c r="E48" s="602"/>
      <c r="F48" s="16"/>
      <c r="G48" s="16"/>
      <c r="H48" s="70"/>
    </row>
    <row r="49" spans="1:9" ht="11.25" customHeight="1">
      <c r="A49" s="10"/>
      <c r="B49" s="601" t="s">
        <v>302</v>
      </c>
      <c r="C49" s="602"/>
      <c r="D49" s="602"/>
      <c r="E49" s="602"/>
      <c r="F49" s="16"/>
      <c r="G49" s="16"/>
      <c r="H49" s="70"/>
    </row>
    <row r="50" spans="1:9" ht="11.25" customHeight="1">
      <c r="A50" s="10"/>
      <c r="B50" s="601" t="s">
        <v>303</v>
      </c>
      <c r="C50" s="602"/>
      <c r="D50" s="602"/>
      <c r="E50" s="602"/>
      <c r="F50" s="16"/>
      <c r="G50" s="16"/>
      <c r="H50" s="70"/>
    </row>
    <row r="51" spans="1:9" ht="11.25" customHeight="1">
      <c r="A51" s="10"/>
      <c r="B51" s="77" t="s">
        <v>304</v>
      </c>
      <c r="C51" s="71"/>
      <c r="D51" s="71"/>
      <c r="E51" s="71"/>
      <c r="F51" s="16"/>
      <c r="G51" s="16"/>
      <c r="H51" s="70"/>
      <c r="I51" s="10"/>
    </row>
    <row r="52" spans="1:9" ht="11.25" customHeight="1">
      <c r="A52" s="10"/>
      <c r="B52" s="601" t="s">
        <v>295</v>
      </c>
      <c r="C52" s="602"/>
      <c r="D52" s="602"/>
      <c r="E52" s="602"/>
      <c r="F52" s="16"/>
      <c r="G52" s="16"/>
      <c r="H52" s="70"/>
    </row>
    <row r="53" spans="1:9" ht="11.25" customHeight="1">
      <c r="A53" s="10"/>
      <c r="B53" s="601" t="s">
        <v>296</v>
      </c>
      <c r="C53" s="602"/>
      <c r="D53" s="602"/>
      <c r="E53" s="602"/>
      <c r="F53" s="16"/>
      <c r="G53" s="16"/>
      <c r="H53" s="70"/>
    </row>
    <row r="54" spans="1:9" ht="11.25" customHeight="1">
      <c r="A54" s="10"/>
      <c r="B54" s="601" t="s">
        <v>297</v>
      </c>
      <c r="C54" s="602"/>
      <c r="D54" s="602"/>
      <c r="E54" s="602"/>
      <c r="F54" s="16"/>
      <c r="G54" s="16"/>
      <c r="H54" s="70"/>
    </row>
    <row r="55" spans="1:9" ht="11.25" customHeight="1">
      <c r="A55" s="10"/>
      <c r="B55" s="642" t="s">
        <v>305</v>
      </c>
      <c r="C55" s="643"/>
      <c r="D55" s="643"/>
      <c r="E55" s="643"/>
      <c r="F55" s="67"/>
      <c r="G55" s="67"/>
      <c r="H55" s="68"/>
      <c r="I55" s="10"/>
    </row>
    <row r="56" spans="1:9" ht="12.6" customHeight="1">
      <c r="A56" s="10"/>
      <c r="B56" s="639" t="s">
        <v>306</v>
      </c>
      <c r="C56" s="640"/>
      <c r="D56" s="640"/>
      <c r="E56" s="640"/>
      <c r="F56" s="67"/>
      <c r="G56" s="67"/>
      <c r="H56" s="68"/>
    </row>
    <row r="57" spans="1:9" ht="12" customHeight="1">
      <c r="A57" s="10"/>
      <c r="B57" s="649" t="s">
        <v>73</v>
      </c>
      <c r="C57" s="649"/>
      <c r="D57" s="649"/>
      <c r="E57" s="649"/>
      <c r="F57" s="649"/>
      <c r="G57" s="649"/>
      <c r="H57" s="649"/>
    </row>
    <row r="58" spans="1:9" ht="12" customHeight="1">
      <c r="A58" s="10"/>
      <c r="B58" s="15"/>
      <c r="C58" s="15"/>
      <c r="D58" s="15"/>
      <c r="E58" s="15"/>
      <c r="F58" s="15"/>
      <c r="G58" s="15"/>
      <c r="H58" s="15"/>
    </row>
    <row r="59" spans="1:9" ht="12" customHeight="1">
      <c r="A59" s="10"/>
      <c r="B59" s="15"/>
      <c r="C59" s="15"/>
      <c r="D59" s="15"/>
      <c r="E59" s="15"/>
      <c r="F59" s="15"/>
      <c r="G59" s="15"/>
      <c r="H59" s="15"/>
    </row>
    <row r="60" spans="1:9" ht="12" customHeight="1">
      <c r="A60" s="10"/>
      <c r="B60" s="15"/>
      <c r="C60" s="15"/>
      <c r="D60" s="15"/>
      <c r="E60" s="15"/>
      <c r="F60" s="15"/>
      <c r="G60" s="15"/>
      <c r="H60" s="15"/>
    </row>
    <row r="61" spans="1:9" ht="12" customHeight="1">
      <c r="A61" s="10"/>
      <c r="B61" s="15"/>
      <c r="C61" s="15"/>
      <c r="D61" s="15"/>
      <c r="E61" s="15"/>
      <c r="F61" s="15"/>
      <c r="G61" s="15"/>
      <c r="H61" s="15"/>
    </row>
    <row r="62" spans="1:9" ht="12" customHeight="1">
      <c r="A62" s="10"/>
      <c r="B62" s="15"/>
      <c r="C62" s="15"/>
      <c r="D62" s="15"/>
      <c r="E62" s="15"/>
      <c r="F62" s="15"/>
      <c r="G62" s="15"/>
      <c r="H62" s="15"/>
    </row>
    <row r="63" spans="1:9" ht="12" customHeight="1">
      <c r="A63" s="10"/>
      <c r="B63" s="15"/>
      <c r="C63" s="15"/>
      <c r="D63" s="15"/>
      <c r="E63" s="15"/>
      <c r="F63" s="15"/>
      <c r="G63" s="15"/>
      <c r="H63" s="15"/>
    </row>
    <row r="64" spans="1:9" ht="12" customHeight="1">
      <c r="A64" s="10"/>
      <c r="B64" s="15"/>
      <c r="C64" s="15"/>
      <c r="D64" s="15"/>
      <c r="E64" s="15"/>
      <c r="F64" s="15"/>
      <c r="G64" s="15"/>
      <c r="H64" s="15"/>
    </row>
    <row r="66" spans="1:8" ht="11.25" customHeight="1">
      <c r="A66" s="10"/>
      <c r="B66" s="596" t="s">
        <v>307</v>
      </c>
      <c r="C66" s="597"/>
      <c r="D66" s="597"/>
      <c r="E66" s="598"/>
      <c r="F66" s="620">
        <v>2006</v>
      </c>
      <c r="G66" s="620">
        <v>2007</v>
      </c>
      <c r="H66" s="629">
        <v>2008</v>
      </c>
    </row>
    <row r="67" spans="1:8" s="79" customFormat="1" ht="11.25" customHeight="1">
      <c r="B67" s="599"/>
      <c r="C67" s="599"/>
      <c r="D67" s="599"/>
      <c r="E67" s="600"/>
      <c r="F67" s="621"/>
      <c r="G67" s="621"/>
      <c r="H67" s="630"/>
    </row>
    <row r="68" spans="1:8" s="79" customFormat="1" ht="11.25" customHeight="1">
      <c r="B68" s="623" t="s">
        <v>308</v>
      </c>
      <c r="C68" s="623"/>
      <c r="D68" s="623"/>
      <c r="E68" s="624"/>
      <c r="F68" s="80"/>
      <c r="G68" s="80"/>
      <c r="H68" s="81"/>
    </row>
    <row r="69" spans="1:8" s="79" customFormat="1" ht="11.25" customHeight="1">
      <c r="B69" s="625" t="s">
        <v>309</v>
      </c>
      <c r="C69" s="625"/>
      <c r="D69" s="625"/>
      <c r="E69" s="626"/>
      <c r="F69" s="80"/>
      <c r="G69" s="80"/>
      <c r="H69" s="81"/>
    </row>
    <row r="70" spans="1:8" s="79" customFormat="1" ht="11.25" customHeight="1">
      <c r="B70" s="62" t="s">
        <v>310</v>
      </c>
      <c r="C70" s="63"/>
      <c r="D70" s="63"/>
      <c r="E70" s="64"/>
      <c r="F70" s="80"/>
      <c r="G70" s="80"/>
      <c r="H70" s="81"/>
    </row>
    <row r="71" spans="1:8" s="79" customFormat="1" ht="11.25" customHeight="1">
      <c r="B71" s="625" t="s">
        <v>311</v>
      </c>
      <c r="C71" s="625"/>
      <c r="D71" s="625"/>
      <c r="E71" s="626"/>
      <c r="F71" s="80"/>
      <c r="G71" s="80"/>
      <c r="H71" s="81"/>
    </row>
    <row r="72" spans="1:8" s="79" customFormat="1" ht="11.25" customHeight="1">
      <c r="B72" s="625" t="s">
        <v>312</v>
      </c>
      <c r="C72" s="625"/>
      <c r="D72" s="625"/>
      <c r="E72" s="626"/>
      <c r="F72" s="80"/>
      <c r="G72" s="80"/>
      <c r="H72" s="81"/>
    </row>
    <row r="73" spans="1:8" s="79" customFormat="1" ht="11.25" customHeight="1">
      <c r="B73" s="625" t="s">
        <v>313</v>
      </c>
      <c r="C73" s="625"/>
      <c r="D73" s="625"/>
      <c r="E73" s="626"/>
      <c r="F73" s="80"/>
      <c r="G73" s="80"/>
      <c r="H73" s="81"/>
    </row>
    <row r="74" spans="1:8" s="79" customFormat="1" ht="11.25" customHeight="1">
      <c r="B74" s="625" t="s">
        <v>314</v>
      </c>
      <c r="C74" s="625"/>
      <c r="D74" s="625"/>
      <c r="E74" s="626"/>
      <c r="F74" s="80"/>
      <c r="G74" s="80"/>
      <c r="H74" s="81"/>
    </row>
    <row r="75" spans="1:8" s="79" customFormat="1" ht="11.25" customHeight="1">
      <c r="B75" s="625" t="s">
        <v>315</v>
      </c>
      <c r="C75" s="625"/>
      <c r="D75" s="625"/>
      <c r="E75" s="626"/>
      <c r="F75" s="80"/>
      <c r="G75" s="80"/>
      <c r="H75" s="81"/>
    </row>
    <row r="76" spans="1:8" s="79" customFormat="1" ht="11.25" customHeight="1">
      <c r="B76" s="627" t="s">
        <v>312</v>
      </c>
      <c r="C76" s="627"/>
      <c r="D76" s="627"/>
      <c r="E76" s="628"/>
      <c r="F76" s="82"/>
      <c r="G76" s="82"/>
      <c r="H76" s="83"/>
    </row>
    <row r="77" spans="1:8" s="79" customFormat="1" ht="11.25" customHeight="1">
      <c r="B77" s="631"/>
      <c r="C77" s="631"/>
      <c r="D77" s="631"/>
      <c r="E77" s="631"/>
      <c r="F77" s="83"/>
      <c r="G77" s="83"/>
      <c r="H77" s="83"/>
    </row>
    <row r="78" spans="1:8" s="79" customFormat="1" ht="11.25" customHeight="1">
      <c r="B78" s="632" t="s">
        <v>316</v>
      </c>
      <c r="C78" s="632"/>
      <c r="D78" s="632"/>
      <c r="E78" s="603"/>
      <c r="F78" s="82"/>
      <c r="G78" s="82"/>
      <c r="H78" s="83"/>
    </row>
    <row r="79" spans="1:8" s="79" customFormat="1" ht="11.25" customHeight="1">
      <c r="B79" s="631" t="s">
        <v>317</v>
      </c>
      <c r="C79" s="631"/>
      <c r="D79" s="631"/>
      <c r="E79" s="601"/>
      <c r="F79" s="82"/>
      <c r="G79" s="82"/>
      <c r="H79" s="83"/>
    </row>
    <row r="80" spans="1:8" ht="11.25" customHeight="1">
      <c r="A80" s="10"/>
      <c r="B80" s="622" t="s">
        <v>73</v>
      </c>
      <c r="C80" s="622"/>
      <c r="D80" s="622"/>
      <c r="E80" s="622"/>
      <c r="F80" s="622"/>
      <c r="G80" s="622"/>
      <c r="H80" s="622"/>
    </row>
    <row r="81" spans="1:11" ht="11.25" customHeight="1">
      <c r="A81" s="10"/>
    </row>
    <row r="82" spans="1:11" s="6" customFormat="1" ht="11.25" customHeight="1">
      <c r="A82" s="78"/>
      <c r="B82" s="648"/>
      <c r="C82" s="648"/>
      <c r="D82" s="648"/>
      <c r="E82" s="648"/>
      <c r="F82" s="648"/>
      <c r="G82" s="648"/>
      <c r="H82" s="648"/>
      <c r="I82" s="648"/>
      <c r="J82" s="648"/>
    </row>
    <row r="83" spans="1:11" s="6" customFormat="1" ht="11.25" customHeight="1">
      <c r="A83" s="78"/>
      <c r="B83" s="641"/>
      <c r="C83" s="641"/>
      <c r="D83" s="641"/>
      <c r="E83" s="641"/>
      <c r="F83" s="641"/>
      <c r="G83" s="641"/>
      <c r="H83" s="641"/>
      <c r="I83" s="641"/>
      <c r="J83" s="641"/>
    </row>
    <row r="84" spans="1:11" ht="11.25" customHeight="1">
      <c r="A84" s="10"/>
      <c r="B84" s="606" t="s">
        <v>81</v>
      </c>
      <c r="C84" s="606"/>
      <c r="D84" s="606"/>
      <c r="E84" s="606"/>
      <c r="F84" s="606"/>
      <c r="G84" s="606"/>
      <c r="H84" s="606"/>
      <c r="I84" s="606"/>
      <c r="J84" s="606"/>
    </row>
    <row r="85" spans="1:11" ht="11.25" customHeight="1">
      <c r="A85" s="10"/>
      <c r="B85" s="606" t="s">
        <v>82</v>
      </c>
      <c r="C85" s="606"/>
      <c r="D85" s="606"/>
      <c r="E85" s="606"/>
      <c r="F85" s="606"/>
      <c r="G85" s="606"/>
      <c r="H85" s="606"/>
      <c r="I85" s="606"/>
      <c r="J85" s="606"/>
    </row>
    <row r="86" spans="1:11" ht="11.25" customHeight="1">
      <c r="A86" s="10"/>
      <c r="B86" s="606" t="s">
        <v>23</v>
      </c>
      <c r="C86" s="606"/>
      <c r="D86" s="606"/>
      <c r="E86" s="606"/>
      <c r="F86" s="606"/>
      <c r="G86" s="606"/>
      <c r="H86" s="606"/>
      <c r="I86" s="606"/>
      <c r="J86" s="606"/>
    </row>
    <row r="87" spans="1:11" ht="11.25" customHeight="1">
      <c r="A87" s="10"/>
      <c r="B87" s="606" t="s">
        <v>114</v>
      </c>
      <c r="C87" s="606"/>
      <c r="D87" s="606"/>
      <c r="E87" s="606"/>
      <c r="F87" s="606"/>
      <c r="G87" s="606"/>
      <c r="H87" s="606"/>
      <c r="I87" s="606"/>
      <c r="J87" s="606"/>
    </row>
    <row r="88" spans="1:11" ht="11.25" customHeight="1">
      <c r="A88" s="10"/>
      <c r="B88" s="652">
        <v>2010</v>
      </c>
      <c r="C88" s="652"/>
      <c r="D88" s="652"/>
      <c r="E88" s="652"/>
      <c r="F88" s="652"/>
      <c r="G88" s="652"/>
      <c r="H88" s="652"/>
      <c r="I88" s="652"/>
      <c r="J88" s="652"/>
    </row>
    <row r="89" spans="1:11" ht="11.25" customHeight="1">
      <c r="A89" s="10"/>
      <c r="B89" s="62" t="s">
        <v>325</v>
      </c>
      <c r="C89" s="63"/>
      <c r="D89" s="63"/>
      <c r="E89" s="63"/>
      <c r="F89" s="84"/>
      <c r="G89" s="84"/>
      <c r="H89" s="106">
        <v>1</v>
      </c>
    </row>
    <row r="90" spans="1:11" ht="11.25" customHeight="1">
      <c r="B90" s="85" t="s">
        <v>9</v>
      </c>
      <c r="C90" s="644" t="s">
        <v>318</v>
      </c>
      <c r="D90" s="645"/>
      <c r="E90" s="86" t="s">
        <v>319</v>
      </c>
      <c r="F90" s="644" t="s">
        <v>320</v>
      </c>
      <c r="G90" s="645"/>
      <c r="H90" s="107" t="s">
        <v>134</v>
      </c>
      <c r="I90" s="108"/>
      <c r="J90" s="108"/>
      <c r="K90" s="10"/>
    </row>
    <row r="91" spans="1:11" ht="17.45" customHeight="1">
      <c r="B91" s="87"/>
      <c r="C91" s="636" t="s">
        <v>321</v>
      </c>
      <c r="D91" s="637"/>
      <c r="E91" s="88" t="s">
        <v>321</v>
      </c>
      <c r="F91" s="636" t="s">
        <v>322</v>
      </c>
      <c r="G91" s="637"/>
      <c r="H91" s="650" t="s">
        <v>135</v>
      </c>
      <c r="I91" s="651"/>
      <c r="J91" s="651"/>
    </row>
    <row r="92" spans="1:11" ht="20.45" customHeight="1">
      <c r="B92" s="89"/>
      <c r="C92" s="634" t="s">
        <v>58</v>
      </c>
      <c r="D92" s="635"/>
      <c r="E92" s="90" t="s">
        <v>59</v>
      </c>
      <c r="F92" s="634" t="s">
        <v>35</v>
      </c>
      <c r="G92" s="635"/>
      <c r="H92" s="646" t="s">
        <v>323</v>
      </c>
      <c r="I92" s="647"/>
      <c r="J92" s="647"/>
    </row>
    <row r="93" spans="1:11" ht="11.25" customHeight="1">
      <c r="B93" s="91">
        <v>2009</v>
      </c>
      <c r="C93" s="92"/>
      <c r="D93" s="93"/>
      <c r="E93" s="94"/>
      <c r="F93" s="94"/>
      <c r="G93" s="91"/>
      <c r="H93" s="98"/>
      <c r="I93" s="10"/>
      <c r="J93" s="10"/>
    </row>
    <row r="94" spans="1:11" ht="11.25" customHeight="1">
      <c r="B94" s="95" t="s">
        <v>326</v>
      </c>
      <c r="C94" s="96"/>
      <c r="D94" s="97"/>
      <c r="E94" s="98"/>
      <c r="F94" s="98"/>
      <c r="G94" s="95"/>
      <c r="H94" s="98"/>
      <c r="I94" s="10"/>
      <c r="J94" s="10"/>
    </row>
    <row r="95" spans="1:11" ht="11.25" customHeight="1">
      <c r="B95" s="95" t="s">
        <v>326</v>
      </c>
      <c r="C95" s="96"/>
      <c r="D95" s="97"/>
      <c r="E95" s="98"/>
      <c r="F95" s="98"/>
      <c r="G95" s="95"/>
      <c r="H95" s="98"/>
      <c r="I95" s="10"/>
      <c r="J95" s="10"/>
    </row>
    <row r="96" spans="1:11" ht="11.25" customHeight="1">
      <c r="B96" s="95" t="s">
        <v>326</v>
      </c>
      <c r="C96" s="96"/>
      <c r="D96" s="97"/>
      <c r="E96" s="98"/>
      <c r="F96" s="98"/>
      <c r="G96" s="95"/>
      <c r="H96" s="98"/>
      <c r="I96" s="10"/>
      <c r="J96" s="10"/>
    </row>
    <row r="97" spans="2:10" ht="11.25" customHeight="1">
      <c r="B97" s="99">
        <v>2083</v>
      </c>
      <c r="C97" s="100"/>
      <c r="D97" s="101"/>
      <c r="E97" s="102"/>
      <c r="F97" s="102"/>
      <c r="G97" s="99"/>
      <c r="H97" s="102"/>
      <c r="I97" s="69"/>
      <c r="J97" s="69"/>
    </row>
    <row r="98" spans="2:10" ht="11.25" customHeight="1">
      <c r="B98" s="103" t="s">
        <v>73</v>
      </c>
      <c r="C98" s="104"/>
      <c r="D98" s="104"/>
      <c r="E98" s="104"/>
      <c r="F98" s="104"/>
      <c r="G98" s="104"/>
      <c r="H98" s="104"/>
    </row>
    <row r="99" spans="2:10" ht="11.25" customHeight="1">
      <c r="B99" s="105" t="s">
        <v>324</v>
      </c>
      <c r="C99" s="105"/>
      <c r="D99" s="105"/>
      <c r="E99" s="105"/>
      <c r="F99" s="105"/>
      <c r="G99" s="105"/>
      <c r="H99" s="105"/>
    </row>
    <row r="119" spans="2:2" ht="11.25" customHeight="1">
      <c r="B119" s="457" t="s">
        <v>567</v>
      </c>
    </row>
  </sheetData>
  <mergeCells count="86">
    <mergeCell ref="F92:G92"/>
    <mergeCell ref="B83:J83"/>
    <mergeCell ref="B33:E33"/>
    <mergeCell ref="B34:E34"/>
    <mergeCell ref="B55:E55"/>
    <mergeCell ref="C90:D90"/>
    <mergeCell ref="H92:J92"/>
    <mergeCell ref="B86:J86"/>
    <mergeCell ref="B82:J82"/>
    <mergeCell ref="B57:H57"/>
    <mergeCell ref="H91:J91"/>
    <mergeCell ref="B85:J85"/>
    <mergeCell ref="B87:J87"/>
    <mergeCell ref="B88:J88"/>
    <mergeCell ref="F90:G90"/>
    <mergeCell ref="F91:G91"/>
    <mergeCell ref="C16:E16"/>
    <mergeCell ref="C24:E24"/>
    <mergeCell ref="C26:E26"/>
    <mergeCell ref="C92:D92"/>
    <mergeCell ref="B35:E35"/>
    <mergeCell ref="C91:D91"/>
    <mergeCell ref="B50:E50"/>
    <mergeCell ref="B52:E52"/>
    <mergeCell ref="B20:E20"/>
    <mergeCell ref="B46:E46"/>
    <mergeCell ref="B47:E47"/>
    <mergeCell ref="B48:E48"/>
    <mergeCell ref="B56:E56"/>
    <mergeCell ref="B49:E49"/>
    <mergeCell ref="B54:E54"/>
    <mergeCell ref="B53:E53"/>
    <mergeCell ref="F66:F67"/>
    <mergeCell ref="B84:J84"/>
    <mergeCell ref="G66:G67"/>
    <mergeCell ref="B80:H80"/>
    <mergeCell ref="B68:E68"/>
    <mergeCell ref="B69:E69"/>
    <mergeCell ref="B71:E71"/>
    <mergeCell ref="B73:E73"/>
    <mergeCell ref="B72:E72"/>
    <mergeCell ref="B74:E74"/>
    <mergeCell ref="B75:E75"/>
    <mergeCell ref="B76:E76"/>
    <mergeCell ref="H66:H67"/>
    <mergeCell ref="B79:E79"/>
    <mergeCell ref="B77:E77"/>
    <mergeCell ref="B78:E78"/>
    <mergeCell ref="B14:E14"/>
    <mergeCell ref="B21:E21"/>
    <mergeCell ref="B22:E22"/>
    <mergeCell ref="B40:E40"/>
    <mergeCell ref="B37:E37"/>
    <mergeCell ref="B38:E38"/>
    <mergeCell ref="B39:E39"/>
    <mergeCell ref="B29:E29"/>
    <mergeCell ref="B15:E15"/>
    <mergeCell ref="B17:E17"/>
    <mergeCell ref="B18:E18"/>
    <mergeCell ref="B19:E19"/>
    <mergeCell ref="B28:E28"/>
    <mergeCell ref="B25:E25"/>
    <mergeCell ref="B23:E23"/>
    <mergeCell ref="B32:E32"/>
    <mergeCell ref="B7:H7"/>
    <mergeCell ref="B8:E8"/>
    <mergeCell ref="B12:E12"/>
    <mergeCell ref="B13:E13"/>
    <mergeCell ref="B6:J6"/>
    <mergeCell ref="B9:E10"/>
    <mergeCell ref="F9:F10"/>
    <mergeCell ref="G9:G10"/>
    <mergeCell ref="H9:H10"/>
    <mergeCell ref="B4:J4"/>
    <mergeCell ref="B1:J1"/>
    <mergeCell ref="B2:J2"/>
    <mergeCell ref="B5:J5"/>
    <mergeCell ref="B3:J3"/>
    <mergeCell ref="B66:E67"/>
    <mergeCell ref="B45:E45"/>
    <mergeCell ref="B43:E43"/>
    <mergeCell ref="B30:E30"/>
    <mergeCell ref="B31:E31"/>
    <mergeCell ref="B36:E36"/>
    <mergeCell ref="B44:E44"/>
    <mergeCell ref="B42:E42"/>
  </mergeCells>
  <phoneticPr fontId="6" type="noConversion"/>
  <pageMargins left="0.48" right="0.28999999999999998" top="0.984251969" bottom="0.984251969" header="0.49212598499999999" footer="0.49212598499999999"/>
  <pageSetup paperSize="9" orientation="portrait" verticalDpi="1200" r:id="rId1"/>
  <headerFooter alignWithMargins="0"/>
  <drawing r:id="rId2"/>
</worksheet>
</file>

<file path=xl/worksheets/sheet12.xml><?xml version="1.0" encoding="utf-8"?>
<worksheet xmlns="http://schemas.openxmlformats.org/spreadsheetml/2006/main" xmlns:r="http://schemas.openxmlformats.org/officeDocument/2006/relationships">
  <sheetPr codeName="Plan25"/>
  <dimension ref="A2:I46"/>
  <sheetViews>
    <sheetView workbookViewId="0">
      <selection activeCell="J51" sqref="J51"/>
    </sheetView>
  </sheetViews>
  <sheetFormatPr defaultRowHeight="11.25" customHeight="1"/>
  <cols>
    <col min="1" max="1" width="22.42578125" style="254" customWidth="1"/>
    <col min="2" max="2" width="21" style="254" customWidth="1"/>
    <col min="3" max="3" width="15.140625" style="254" customWidth="1"/>
    <col min="4" max="4" width="16.140625" style="254" customWidth="1"/>
    <col min="5" max="5" width="16.42578125" style="254" customWidth="1"/>
    <col min="6" max="6" width="17.5703125" style="254" customWidth="1"/>
    <col min="7" max="7" width="20.28515625" style="254" customWidth="1"/>
    <col min="8" max="16384" width="9.140625" style="254"/>
  </cols>
  <sheetData>
    <row r="2" spans="1:9" ht="11.25" customHeight="1">
      <c r="A2" s="349"/>
      <c r="B2" s="349"/>
      <c r="C2" s="349"/>
      <c r="D2" s="349"/>
      <c r="E2" s="349"/>
      <c r="F2" s="349"/>
    </row>
    <row r="3" spans="1:9" ht="11.25" customHeight="1">
      <c r="A3" s="660" t="s">
        <v>81</v>
      </c>
      <c r="B3" s="660"/>
      <c r="C3" s="660"/>
      <c r="D3" s="660"/>
      <c r="E3" s="660"/>
      <c r="F3" s="660"/>
      <c r="G3" s="255"/>
      <c r="H3" s="255"/>
      <c r="I3" s="255"/>
    </row>
    <row r="4" spans="1:9" ht="11.25" customHeight="1">
      <c r="A4" s="660" t="s">
        <v>82</v>
      </c>
      <c r="B4" s="660"/>
      <c r="C4" s="660"/>
      <c r="D4" s="660"/>
      <c r="E4" s="660"/>
      <c r="F4" s="660"/>
      <c r="G4" s="255"/>
      <c r="H4" s="255"/>
      <c r="I4" s="255"/>
    </row>
    <row r="5" spans="1:9" ht="11.25" customHeight="1">
      <c r="A5" s="660" t="s">
        <v>249</v>
      </c>
      <c r="B5" s="660"/>
      <c r="C5" s="660"/>
      <c r="D5" s="660"/>
      <c r="E5" s="660"/>
      <c r="F5" s="660"/>
      <c r="G5" s="255"/>
      <c r="H5" s="255"/>
      <c r="I5" s="255"/>
    </row>
    <row r="6" spans="1:9" ht="11.25" customHeight="1">
      <c r="A6" s="660" t="s">
        <v>444</v>
      </c>
      <c r="B6" s="660"/>
      <c r="C6" s="660"/>
      <c r="D6" s="660"/>
      <c r="E6" s="660"/>
      <c r="F6" s="660"/>
      <c r="G6" s="255"/>
      <c r="H6" s="255"/>
      <c r="I6" s="255"/>
    </row>
    <row r="7" spans="1:9" ht="11.25" customHeight="1">
      <c r="A7" s="661">
        <v>2013</v>
      </c>
      <c r="B7" s="660"/>
      <c r="C7" s="660"/>
      <c r="D7" s="660"/>
      <c r="E7" s="660"/>
      <c r="F7" s="660"/>
      <c r="G7" s="255"/>
      <c r="H7" s="255"/>
      <c r="I7" s="255"/>
    </row>
    <row r="8" spans="1:9" ht="11.25" customHeight="1">
      <c r="A8" s="255"/>
      <c r="B8" s="255"/>
      <c r="C8" s="255"/>
      <c r="D8" s="255"/>
      <c r="E8" s="255"/>
      <c r="F8" s="255"/>
      <c r="G8" s="255"/>
      <c r="H8" s="255"/>
      <c r="I8" s="255"/>
    </row>
    <row r="9" spans="1:9" ht="11.25" customHeight="1">
      <c r="A9" s="349"/>
      <c r="B9" s="349"/>
      <c r="C9" s="349"/>
      <c r="D9" s="349"/>
      <c r="E9" s="349"/>
      <c r="F9" s="349"/>
    </row>
    <row r="10" spans="1:9" ht="11.25" customHeight="1">
      <c r="A10" s="350" t="s">
        <v>209</v>
      </c>
      <c r="B10" s="351"/>
      <c r="C10" s="351"/>
      <c r="D10" s="351"/>
      <c r="E10" s="351"/>
      <c r="F10" s="352"/>
      <c r="G10" s="353">
        <v>1</v>
      </c>
    </row>
    <row r="11" spans="1:9" ht="11.25" customHeight="1">
      <c r="A11" s="560" t="s">
        <v>206</v>
      </c>
      <c r="B11" s="655" t="s">
        <v>207</v>
      </c>
      <c r="C11" s="563" t="s">
        <v>208</v>
      </c>
      <c r="D11" s="655" t="s">
        <v>115</v>
      </c>
      <c r="E11" s="658"/>
      <c r="F11" s="560"/>
      <c r="G11" s="655" t="s">
        <v>116</v>
      </c>
    </row>
    <row r="12" spans="1:9" ht="11.25" customHeight="1">
      <c r="A12" s="561"/>
      <c r="B12" s="656"/>
      <c r="C12" s="564"/>
      <c r="D12" s="657"/>
      <c r="E12" s="659"/>
      <c r="F12" s="562"/>
      <c r="G12" s="656"/>
    </row>
    <row r="13" spans="1:9" ht="15" customHeight="1">
      <c r="A13" s="562"/>
      <c r="B13" s="657"/>
      <c r="C13" s="565"/>
      <c r="D13" s="354">
        <v>2013</v>
      </c>
      <c r="E13" s="354">
        <v>2014</v>
      </c>
      <c r="F13" s="354">
        <v>2015</v>
      </c>
      <c r="G13" s="657"/>
    </row>
    <row r="14" spans="1:9" ht="11.25" customHeight="1">
      <c r="A14" s="267"/>
      <c r="B14" s="267"/>
      <c r="C14" s="267"/>
      <c r="D14" s="267"/>
      <c r="E14" s="267"/>
      <c r="F14" s="267"/>
      <c r="G14" s="355"/>
    </row>
    <row r="15" spans="1:9" ht="11.25" customHeight="1">
      <c r="A15" s="267" t="s">
        <v>405</v>
      </c>
      <c r="B15" s="267" t="s">
        <v>406</v>
      </c>
      <c r="C15" s="267" t="s">
        <v>407</v>
      </c>
      <c r="D15" s="358">
        <v>2000</v>
      </c>
      <c r="E15" s="358">
        <f>D15*1.045</f>
        <v>2090</v>
      </c>
      <c r="F15" s="358">
        <f>E15*1.045</f>
        <v>2184.0499999999997</v>
      </c>
      <c r="G15" s="356" t="s">
        <v>408</v>
      </c>
    </row>
    <row r="16" spans="1:9" ht="11.25" customHeight="1">
      <c r="A16" s="267"/>
      <c r="B16" s="267"/>
      <c r="C16" s="267"/>
      <c r="D16" s="358"/>
      <c r="E16" s="358"/>
      <c r="F16" s="358"/>
      <c r="G16" s="356"/>
    </row>
    <row r="17" spans="1:7" ht="11.25" customHeight="1">
      <c r="A17" s="267"/>
      <c r="B17" s="267"/>
      <c r="C17" s="267"/>
      <c r="D17" s="358"/>
      <c r="E17" s="358"/>
      <c r="F17" s="358"/>
      <c r="G17" s="356"/>
    </row>
    <row r="18" spans="1:7" ht="11.25" customHeight="1">
      <c r="A18" s="267"/>
      <c r="B18" s="267"/>
      <c r="C18" s="267"/>
      <c r="D18" s="358"/>
      <c r="E18" s="358"/>
      <c r="F18" s="358"/>
      <c r="G18" s="356"/>
    </row>
    <row r="19" spans="1:7" ht="11.25" customHeight="1">
      <c r="A19" s="267"/>
      <c r="B19" s="267"/>
      <c r="C19" s="267"/>
      <c r="D19" s="358"/>
      <c r="E19" s="358"/>
      <c r="F19" s="358"/>
      <c r="G19" s="356"/>
    </row>
    <row r="20" spans="1:7" ht="11.25" customHeight="1">
      <c r="A20" s="267"/>
      <c r="B20" s="267"/>
      <c r="C20" s="267"/>
      <c r="D20" s="358"/>
      <c r="E20" s="358"/>
      <c r="F20" s="358"/>
      <c r="G20" s="356"/>
    </row>
    <row r="21" spans="1:7" ht="11.25" customHeight="1">
      <c r="A21" s="267"/>
      <c r="B21" s="267"/>
      <c r="C21" s="267"/>
      <c r="D21" s="358"/>
      <c r="E21" s="358"/>
      <c r="F21" s="358"/>
      <c r="G21" s="356"/>
    </row>
    <row r="22" spans="1:7" ht="11.25" customHeight="1">
      <c r="A22" s="267"/>
      <c r="B22" s="267"/>
      <c r="C22" s="267"/>
      <c r="D22" s="358"/>
      <c r="E22" s="358"/>
      <c r="F22" s="358"/>
      <c r="G22" s="356"/>
    </row>
    <row r="23" spans="1:7" ht="11.25" customHeight="1">
      <c r="A23" s="267"/>
      <c r="B23" s="267"/>
      <c r="C23" s="267"/>
      <c r="D23" s="358"/>
      <c r="E23" s="358"/>
      <c r="F23" s="358"/>
      <c r="G23" s="356"/>
    </row>
    <row r="24" spans="1:7" ht="11.25" customHeight="1">
      <c r="A24" s="267"/>
      <c r="B24" s="267"/>
      <c r="C24" s="267"/>
      <c r="D24" s="358"/>
      <c r="E24" s="358"/>
      <c r="F24" s="358"/>
      <c r="G24" s="356"/>
    </row>
    <row r="25" spans="1:7" ht="11.25" customHeight="1">
      <c r="A25" s="267"/>
      <c r="B25" s="267"/>
      <c r="C25" s="267"/>
      <c r="D25" s="358"/>
      <c r="E25" s="358"/>
      <c r="F25" s="358"/>
      <c r="G25" s="356"/>
    </row>
    <row r="26" spans="1:7" ht="11.25" customHeight="1">
      <c r="A26" s="267"/>
      <c r="B26" s="267"/>
      <c r="C26" s="267"/>
      <c r="D26" s="358"/>
      <c r="E26" s="358"/>
      <c r="F26" s="358"/>
      <c r="G26" s="356"/>
    </row>
    <row r="27" spans="1:7" ht="11.25" customHeight="1">
      <c r="A27" s="267"/>
      <c r="B27" s="267"/>
      <c r="C27" s="267"/>
      <c r="D27" s="358"/>
      <c r="E27" s="358"/>
      <c r="F27" s="358"/>
      <c r="G27" s="356"/>
    </row>
    <row r="28" spans="1:7" ht="11.25" customHeight="1">
      <c r="A28" s="267"/>
      <c r="B28" s="267"/>
      <c r="C28" s="267"/>
      <c r="D28" s="358"/>
      <c r="E28" s="358"/>
      <c r="F28" s="358"/>
      <c r="G28" s="356"/>
    </row>
    <row r="29" spans="1:7" ht="11.25" customHeight="1">
      <c r="A29" s="267"/>
      <c r="B29" s="267"/>
      <c r="C29" s="267"/>
      <c r="D29" s="358"/>
      <c r="E29" s="358"/>
      <c r="F29" s="358"/>
      <c r="G29" s="356"/>
    </row>
    <row r="30" spans="1:7" ht="11.25" customHeight="1">
      <c r="A30" s="267"/>
      <c r="B30" s="267"/>
      <c r="C30" s="267"/>
      <c r="D30" s="358"/>
      <c r="E30" s="358"/>
      <c r="F30" s="358"/>
      <c r="G30" s="356"/>
    </row>
    <row r="31" spans="1:7" ht="11.25" customHeight="1">
      <c r="A31" s="267"/>
      <c r="B31" s="267"/>
      <c r="C31" s="267"/>
      <c r="D31" s="358"/>
      <c r="E31" s="358"/>
      <c r="F31" s="358"/>
      <c r="G31" s="356"/>
    </row>
    <row r="32" spans="1:7" ht="11.25" customHeight="1">
      <c r="A32" s="271"/>
      <c r="B32" s="271"/>
      <c r="C32" s="271"/>
      <c r="D32" s="359"/>
      <c r="E32" s="359"/>
      <c r="F32" s="359"/>
      <c r="G32" s="357"/>
    </row>
    <row r="33" spans="1:9" ht="11.25" customHeight="1">
      <c r="A33" s="653" t="s">
        <v>76</v>
      </c>
      <c r="B33" s="653"/>
      <c r="C33" s="654"/>
      <c r="D33" s="359">
        <f>D15</f>
        <v>2000</v>
      </c>
      <c r="E33" s="359">
        <f>E15</f>
        <v>2090</v>
      </c>
      <c r="F33" s="359">
        <f>F15</f>
        <v>2184.0499999999997</v>
      </c>
      <c r="G33" s="357" t="s">
        <v>117</v>
      </c>
    </row>
    <row r="34" spans="1:9" ht="11.25" customHeight="1">
      <c r="A34" s="274" t="s">
        <v>409</v>
      </c>
      <c r="B34" s="274"/>
      <c r="C34" s="274"/>
      <c r="D34" s="274"/>
      <c r="E34" s="274"/>
      <c r="F34" s="274"/>
      <c r="G34" s="274"/>
    </row>
    <row r="35" spans="1:9" ht="11.25" customHeight="1">
      <c r="A35" s="181"/>
      <c r="B35" s="181"/>
      <c r="C35" s="181"/>
      <c r="D35" s="181"/>
      <c r="E35" s="181"/>
      <c r="F35" s="181"/>
      <c r="G35" s="179"/>
      <c r="H35" s="179"/>
      <c r="I35"/>
    </row>
    <row r="36" spans="1:9" ht="11.25" customHeight="1">
      <c r="A36" s="181" t="s">
        <v>410</v>
      </c>
      <c r="B36" s="181"/>
      <c r="C36" s="181"/>
      <c r="D36" s="181"/>
      <c r="E36" s="181"/>
      <c r="F36" s="181"/>
      <c r="G36" s="179"/>
      <c r="H36" s="179"/>
      <c r="I36"/>
    </row>
    <row r="37" spans="1:9" ht="11.25" customHeight="1">
      <c r="A37" s="181"/>
      <c r="B37" s="181"/>
      <c r="C37" s="181"/>
      <c r="D37" s="181"/>
      <c r="E37" s="181"/>
      <c r="F37" s="181"/>
      <c r="G37" s="179"/>
      <c r="H37" s="179"/>
      <c r="I37"/>
    </row>
    <row r="38" spans="1:9" ht="11.25" customHeight="1">
      <c r="A38" s="181" t="s">
        <v>633</v>
      </c>
      <c r="B38" s="181"/>
      <c r="C38" s="181"/>
      <c r="D38" s="181"/>
      <c r="E38" s="181"/>
      <c r="F38" s="181"/>
      <c r="G38" s="179"/>
      <c r="H38" s="179"/>
      <c r="I38"/>
    </row>
    <row r="39" spans="1:9" ht="11.25" customHeight="1">
      <c r="A39" s="181"/>
      <c r="B39" s="181"/>
      <c r="C39" s="181"/>
      <c r="D39" s="181"/>
      <c r="E39" s="181"/>
      <c r="F39" s="181"/>
      <c r="G39" s="179"/>
      <c r="H39" s="179"/>
      <c r="I39"/>
    </row>
    <row r="40" spans="1:9" ht="11.25" customHeight="1">
      <c r="A40" s="181"/>
      <c r="B40" s="181"/>
      <c r="C40" s="181"/>
      <c r="D40" s="181"/>
      <c r="E40" s="181"/>
      <c r="F40" s="181"/>
      <c r="G40" s="179"/>
      <c r="H40" s="179"/>
      <c r="I40"/>
    </row>
    <row r="41" spans="1:9" ht="11.25" customHeight="1">
      <c r="A41" s="181"/>
      <c r="B41" s="181"/>
      <c r="C41" s="181"/>
      <c r="D41" s="181"/>
      <c r="E41" s="181"/>
      <c r="F41" s="181"/>
      <c r="G41" s="179"/>
      <c r="H41" s="179"/>
      <c r="I41"/>
    </row>
    <row r="42" spans="1:9" ht="11.25" customHeight="1">
      <c r="A42" s="181"/>
      <c r="B42" s="181"/>
      <c r="C42" s="181"/>
      <c r="D42" s="181"/>
      <c r="E42" s="181"/>
      <c r="F42" s="181"/>
      <c r="G42" s="179"/>
      <c r="H42" s="179"/>
      <c r="I42"/>
    </row>
    <row r="43" spans="1:9" ht="11.25" customHeight="1">
      <c r="A43" s="181" t="s">
        <v>375</v>
      </c>
      <c r="B43" s="181" t="s">
        <v>411</v>
      </c>
      <c r="C43" s="181"/>
      <c r="D43" s="181" t="s">
        <v>615</v>
      </c>
      <c r="E43" s="181"/>
      <c r="F43" s="181"/>
      <c r="I43"/>
    </row>
    <row r="44" spans="1:9" ht="11.25" customHeight="1">
      <c r="A44" s="181" t="s">
        <v>412</v>
      </c>
      <c r="B44" s="181" t="s">
        <v>413</v>
      </c>
      <c r="C44" s="181"/>
      <c r="D44" s="181" t="s">
        <v>414</v>
      </c>
      <c r="E44" s="181"/>
      <c r="F44" s="181"/>
      <c r="I44"/>
    </row>
    <row r="45" spans="1:9" ht="11.25" customHeight="1">
      <c r="A45" s="181"/>
      <c r="B45" s="181"/>
      <c r="C45" s="181"/>
      <c r="D45" s="181"/>
      <c r="E45" s="181"/>
      <c r="F45" s="181"/>
      <c r="G45" s="179"/>
      <c r="H45" s="179"/>
      <c r="I45"/>
    </row>
    <row r="46" spans="1:9" ht="11.25" customHeight="1">
      <c r="A46" s="181"/>
      <c r="B46" s="181"/>
      <c r="C46" s="181"/>
      <c r="D46" s="181"/>
      <c r="E46" s="181"/>
      <c r="F46" s="181"/>
      <c r="G46" s="179"/>
      <c r="H46" s="179"/>
      <c r="I46"/>
    </row>
  </sheetData>
  <mergeCells count="11">
    <mergeCell ref="G11:G13"/>
    <mergeCell ref="A4:F4"/>
    <mergeCell ref="A3:F3"/>
    <mergeCell ref="A6:F6"/>
    <mergeCell ref="A7:F7"/>
    <mergeCell ref="A5:F5"/>
    <mergeCell ref="A33:C33"/>
    <mergeCell ref="A11:A13"/>
    <mergeCell ref="B11:B13"/>
    <mergeCell ref="C11:C13"/>
    <mergeCell ref="D11:F12"/>
  </mergeCells>
  <phoneticPr fontId="6" type="noConversion"/>
  <pageMargins left="0.78740157480314965" right="0.59055118110236227" top="0.98425196850393704" bottom="0.98425196850393704" header="0.51181102362204722" footer="0.51181102362204722"/>
  <pageSetup paperSize="9" scale="75" orientation="landscape" verticalDpi="0" r:id="rId1"/>
  <headerFooter alignWithMargins="0"/>
</worksheet>
</file>

<file path=xl/worksheets/sheet13.xml><?xml version="1.0" encoding="utf-8"?>
<worksheet xmlns="http://schemas.openxmlformats.org/spreadsheetml/2006/main" xmlns:r="http://schemas.openxmlformats.org/officeDocument/2006/relationships">
  <sheetPr codeName="Plan26"/>
  <dimension ref="A1:J48"/>
  <sheetViews>
    <sheetView view="pageLayout" zoomScaleNormal="100" workbookViewId="0">
      <selection activeCell="A44" sqref="A44"/>
    </sheetView>
  </sheetViews>
  <sheetFormatPr defaultRowHeight="11.25" customHeight="1"/>
  <cols>
    <col min="1" max="1" width="56.42578125" style="105" customWidth="1"/>
    <col min="2" max="2" width="28.140625" style="105" customWidth="1"/>
    <col min="3" max="4" width="9.140625" style="105"/>
    <col min="5" max="5" width="23.5703125" style="105" customWidth="1"/>
    <col min="6" max="6" width="23" style="105" customWidth="1"/>
    <col min="7" max="16384" width="9.140625" style="105"/>
  </cols>
  <sheetData>
    <row r="1" spans="1:10" ht="11.25" customHeight="1">
      <c r="A1" s="347"/>
      <c r="B1" s="347"/>
    </row>
    <row r="2" spans="1:10" ht="11.25" customHeight="1">
      <c r="A2" s="574" t="s">
        <v>81</v>
      </c>
      <c r="B2" s="574"/>
      <c r="C2" s="277"/>
      <c r="D2" s="277"/>
      <c r="E2" s="277"/>
      <c r="F2" s="277"/>
      <c r="G2" s="277"/>
      <c r="H2" s="277"/>
      <c r="I2" s="277"/>
    </row>
    <row r="3" spans="1:10" ht="11.25" customHeight="1">
      <c r="A3" s="574" t="s">
        <v>82</v>
      </c>
      <c r="B3" s="574"/>
      <c r="C3" s="277"/>
      <c r="D3" s="277"/>
      <c r="E3" s="277"/>
      <c r="F3" s="277"/>
      <c r="G3" s="277"/>
      <c r="H3" s="277"/>
      <c r="I3" s="277"/>
    </row>
    <row r="4" spans="1:10" ht="11.25" customHeight="1">
      <c r="A4" s="574" t="s">
        <v>249</v>
      </c>
      <c r="B4" s="574"/>
      <c r="C4" s="277"/>
      <c r="D4" s="277"/>
      <c r="E4" s="277"/>
      <c r="F4" s="277"/>
      <c r="G4" s="277"/>
      <c r="H4" s="277"/>
      <c r="I4" s="277"/>
    </row>
    <row r="5" spans="1:10" ht="11.25" customHeight="1">
      <c r="A5" s="547" t="s">
        <v>445</v>
      </c>
      <c r="B5" s="547"/>
      <c r="C5" s="348"/>
      <c r="D5" s="348"/>
      <c r="E5" s="348"/>
      <c r="F5" s="348"/>
      <c r="G5" s="348"/>
      <c r="H5" s="348"/>
      <c r="I5" s="348"/>
    </row>
    <row r="6" spans="1:10" ht="11.25" customHeight="1">
      <c r="A6" s="575">
        <v>2013</v>
      </c>
      <c r="B6" s="574"/>
      <c r="C6" s="277"/>
      <c r="D6" s="277"/>
      <c r="E6" s="277"/>
      <c r="F6" s="277"/>
      <c r="G6" s="277"/>
      <c r="H6" s="277"/>
      <c r="I6" s="277"/>
      <c r="J6" s="277"/>
    </row>
    <row r="7" spans="1:10" ht="11.25" customHeight="1">
      <c r="A7" s="572"/>
      <c r="B7" s="572"/>
      <c r="D7" s="192"/>
      <c r="E7" s="192"/>
      <c r="F7" s="192"/>
    </row>
    <row r="8" spans="1:10" ht="11.25" customHeight="1">
      <c r="A8" s="347"/>
      <c r="B8" s="347"/>
      <c r="D8" s="192"/>
      <c r="E8" s="192"/>
      <c r="F8" s="192"/>
    </row>
    <row r="9" spans="1:10" ht="11.25" customHeight="1">
      <c r="A9" s="309"/>
      <c r="B9" s="309"/>
      <c r="D9" s="192"/>
      <c r="E9" s="192"/>
      <c r="F9" s="192"/>
    </row>
    <row r="10" spans="1:10" ht="11.25" customHeight="1">
      <c r="A10" s="310" t="s">
        <v>137</v>
      </c>
      <c r="B10" s="311">
        <v>1</v>
      </c>
      <c r="D10" s="192"/>
      <c r="E10" s="362"/>
      <c r="F10" s="362"/>
    </row>
    <row r="11" spans="1:10" ht="11.25" customHeight="1">
      <c r="A11" s="592" t="s">
        <v>118</v>
      </c>
      <c r="B11" s="663" t="s">
        <v>616</v>
      </c>
      <c r="D11" s="192"/>
      <c r="E11" s="363"/>
      <c r="F11" s="364"/>
    </row>
    <row r="12" spans="1:10" s="222" customFormat="1" ht="11.25" customHeight="1">
      <c r="A12" s="593"/>
      <c r="B12" s="664"/>
      <c r="D12" s="368"/>
      <c r="E12" s="365"/>
      <c r="F12" s="366"/>
      <c r="G12" s="105"/>
    </row>
    <row r="13" spans="1:10" ht="13.5" customHeight="1">
      <c r="A13" s="369" t="s">
        <v>119</v>
      </c>
      <c r="B13" s="370">
        <v>347000</v>
      </c>
      <c r="C13" s="371"/>
      <c r="D13" s="192"/>
      <c r="E13" s="365"/>
      <c r="F13" s="366"/>
    </row>
    <row r="14" spans="1:10" ht="13.5" customHeight="1">
      <c r="A14" s="369" t="s">
        <v>120</v>
      </c>
      <c r="B14" s="370"/>
      <c r="C14" s="371"/>
      <c r="D14" s="192"/>
      <c r="E14" s="365"/>
      <c r="F14" s="366"/>
    </row>
    <row r="15" spans="1:10" ht="14.25" customHeight="1">
      <c r="A15" s="328" t="s">
        <v>158</v>
      </c>
      <c r="B15" s="332">
        <v>0</v>
      </c>
      <c r="C15" s="371"/>
      <c r="D15" s="192"/>
      <c r="E15" s="363"/>
      <c r="F15" s="364"/>
    </row>
    <row r="16" spans="1:10" ht="13.5" customHeight="1">
      <c r="A16" s="328" t="s">
        <v>121</v>
      </c>
      <c r="B16" s="332">
        <f>B13-B15</f>
        <v>347000</v>
      </c>
      <c r="C16" s="371"/>
      <c r="D16" s="192"/>
      <c r="E16" s="365"/>
      <c r="F16" s="366"/>
    </row>
    <row r="17" spans="1:6" ht="13.5" customHeight="1">
      <c r="A17" s="328" t="s">
        <v>122</v>
      </c>
      <c r="B17" s="332"/>
      <c r="C17" s="371"/>
      <c r="D17" s="192"/>
      <c r="E17" s="365"/>
      <c r="F17" s="364"/>
    </row>
    <row r="18" spans="1:6" ht="13.5" customHeight="1">
      <c r="A18" s="328" t="s">
        <v>123</v>
      </c>
      <c r="B18" s="332">
        <v>0</v>
      </c>
      <c r="C18" s="371"/>
      <c r="D18" s="192"/>
      <c r="E18" s="365"/>
      <c r="F18" s="366"/>
    </row>
    <row r="19" spans="1:6" ht="12.75" customHeight="1">
      <c r="A19" s="369" t="s">
        <v>124</v>
      </c>
      <c r="B19" s="372">
        <v>0</v>
      </c>
      <c r="C19" s="371"/>
      <c r="D19" s="192"/>
      <c r="E19" s="363"/>
      <c r="F19" s="364"/>
    </row>
    <row r="20" spans="1:6" ht="12.75" customHeight="1">
      <c r="A20" s="369" t="s">
        <v>125</v>
      </c>
      <c r="B20" s="370"/>
      <c r="C20" s="371"/>
      <c r="D20" s="192"/>
      <c r="E20" s="365"/>
      <c r="F20" s="366"/>
    </row>
    <row r="21" spans="1:6" ht="12.75" customHeight="1">
      <c r="A21" s="328" t="s">
        <v>94</v>
      </c>
      <c r="B21" s="332"/>
      <c r="C21" s="371"/>
      <c r="D21" s="192"/>
      <c r="E21" s="365"/>
      <c r="F21" s="366"/>
    </row>
    <row r="22" spans="1:6" ht="12.75" customHeight="1">
      <c r="A22" s="328" t="s">
        <v>95</v>
      </c>
      <c r="B22" s="332">
        <f>B16</f>
        <v>347000</v>
      </c>
      <c r="C22" s="371"/>
      <c r="D22" s="192"/>
      <c r="E22" s="363"/>
      <c r="F22" s="367"/>
    </row>
    <row r="23" spans="1:6" ht="11.25" customHeight="1">
      <c r="A23" s="662" t="s">
        <v>568</v>
      </c>
      <c r="B23" s="662"/>
      <c r="D23" s="192"/>
      <c r="E23" s="622"/>
      <c r="F23" s="622"/>
    </row>
    <row r="24" spans="1:6" ht="11.25" customHeight="1">
      <c r="D24" s="192"/>
      <c r="E24" s="192"/>
      <c r="F24" s="192"/>
    </row>
    <row r="25" spans="1:6" ht="11.25" customHeight="1">
      <c r="A25" s="360" t="s">
        <v>415</v>
      </c>
      <c r="B25" s="179"/>
      <c r="C25" s="179"/>
      <c r="D25" s="192"/>
      <c r="E25" s="192"/>
      <c r="F25" s="192"/>
    </row>
    <row r="26" spans="1:6" ht="11.25" customHeight="1">
      <c r="A26" s="361" t="s">
        <v>416</v>
      </c>
      <c r="B26" s="361"/>
      <c r="C26" s="179"/>
    </row>
    <row r="27" spans="1:6" ht="11.25" customHeight="1">
      <c r="A27" s="361" t="s">
        <v>619</v>
      </c>
      <c r="B27" s="179"/>
      <c r="C27" s="179"/>
    </row>
    <row r="28" spans="1:6" ht="11.25" customHeight="1">
      <c r="A28" s="361" t="s">
        <v>417</v>
      </c>
      <c r="B28" s="179"/>
      <c r="C28" s="179"/>
    </row>
    <row r="29" spans="1:6" ht="11.25" customHeight="1">
      <c r="A29" s="361" t="s">
        <v>617</v>
      </c>
      <c r="B29" s="179"/>
      <c r="C29" s="179"/>
    </row>
    <row r="30" spans="1:6" ht="11.25" customHeight="1">
      <c r="A30" s="361" t="s">
        <v>426</v>
      </c>
      <c r="B30" s="179"/>
      <c r="C30" s="179"/>
    </row>
    <row r="31" spans="1:6" ht="11.25" customHeight="1">
      <c r="A31" s="361" t="s">
        <v>620</v>
      </c>
      <c r="B31" s="179"/>
      <c r="C31" s="179"/>
    </row>
    <row r="32" spans="1:6" ht="12" customHeight="1">
      <c r="A32" s="361" t="s">
        <v>621</v>
      </c>
      <c r="B32" s="179"/>
      <c r="C32" s="179"/>
    </row>
    <row r="33" spans="1:3" ht="4.5" customHeight="1">
      <c r="A33" s="361"/>
      <c r="B33" s="179"/>
      <c r="C33" s="179"/>
    </row>
    <row r="34" spans="1:3" ht="11.25" customHeight="1">
      <c r="A34" s="179" t="s">
        <v>418</v>
      </c>
      <c r="B34" s="179"/>
      <c r="C34" s="179"/>
    </row>
    <row r="35" spans="1:3" ht="11.25" customHeight="1">
      <c r="A35" s="179" t="s">
        <v>419</v>
      </c>
      <c r="B35" s="179"/>
      <c r="C35" s="179"/>
    </row>
    <row r="36" spans="1:3" ht="11.25" customHeight="1">
      <c r="A36" s="179" t="s">
        <v>420</v>
      </c>
      <c r="B36" s="179"/>
      <c r="C36" s="179"/>
    </row>
    <row r="37" spans="1:3" ht="11.25" customHeight="1">
      <c r="A37" s="179" t="s">
        <v>421</v>
      </c>
      <c r="B37" s="179"/>
      <c r="C37" s="179"/>
    </row>
    <row r="38" spans="1:3" ht="11.25" customHeight="1">
      <c r="A38" s="179" t="s">
        <v>422</v>
      </c>
      <c r="B38" s="179"/>
      <c r="C38" s="179"/>
    </row>
    <row r="39" spans="1:3" ht="11.25" customHeight="1">
      <c r="A39" s="179" t="s">
        <v>423</v>
      </c>
      <c r="B39" s="179"/>
      <c r="C39" s="179"/>
    </row>
    <row r="40" spans="1:3" ht="11.25" customHeight="1">
      <c r="A40" s="179" t="s">
        <v>424</v>
      </c>
      <c r="B40" s="179"/>
      <c r="C40" s="179"/>
    </row>
    <row r="41" spans="1:3" ht="11.25" customHeight="1">
      <c r="A41" s="179"/>
      <c r="B41" s="179"/>
      <c r="C41" s="179"/>
    </row>
    <row r="42" spans="1:3" ht="11.25" customHeight="1">
      <c r="A42" s="179"/>
      <c r="B42" s="179"/>
      <c r="C42" s="179"/>
    </row>
    <row r="43" spans="1:3" ht="11.25" customHeight="1">
      <c r="A43" s="179" t="s">
        <v>631</v>
      </c>
      <c r="B43" s="179"/>
      <c r="C43" s="179"/>
    </row>
    <row r="44" spans="1:3" ht="11.25" customHeight="1">
      <c r="A44" s="179"/>
      <c r="B44" s="179"/>
      <c r="C44" s="179"/>
    </row>
    <row r="45" spans="1:3" ht="11.25" customHeight="1">
      <c r="A45" s="179"/>
      <c r="B45" s="179"/>
      <c r="C45" s="179"/>
    </row>
    <row r="46" spans="1:3" ht="11.25" customHeight="1">
      <c r="A46" s="179"/>
      <c r="B46" s="179"/>
      <c r="C46" s="179"/>
    </row>
    <row r="47" spans="1:3" ht="11.25" customHeight="1">
      <c r="A47" s="179" t="s">
        <v>618</v>
      </c>
      <c r="B47" s="179"/>
      <c r="C47" s="179"/>
    </row>
    <row r="48" spans="1:3" ht="11.25" customHeight="1">
      <c r="A48" s="179" t="s">
        <v>425</v>
      </c>
      <c r="B48" s="179"/>
      <c r="C48" s="179"/>
    </row>
  </sheetData>
  <mergeCells count="10">
    <mergeCell ref="A2:B2"/>
    <mergeCell ref="A3:B3"/>
    <mergeCell ref="A6:B6"/>
    <mergeCell ref="A4:B4"/>
    <mergeCell ref="E23:F23"/>
    <mergeCell ref="A23:B23"/>
    <mergeCell ref="A11:A12"/>
    <mergeCell ref="B11:B12"/>
    <mergeCell ref="A7:B7"/>
    <mergeCell ref="A5:B5"/>
  </mergeCells>
  <phoneticPr fontId="6" type="noConversion"/>
  <pageMargins left="0.78740157499999996" right="0.78740157499999996" top="0.984251969" bottom="0.984251969" header="0.49212598499999999" footer="0.49212598499999999"/>
  <pageSetup paperSize="9" scale="75" orientation="landscape" verticalDpi="0" r:id="rId1"/>
  <headerFooter alignWithMargins="0">
    <oddHeader xml:space="preserve">&amp;LESTADO RIO GRANDE DO SUL
PREFEITURA MUNICIPAL DE BOA VISTA DO CADEADO
</oddHeader>
  </headerFooter>
</worksheet>
</file>

<file path=xl/worksheets/sheet14.xml><?xml version="1.0" encoding="utf-8"?>
<worksheet xmlns="http://schemas.openxmlformats.org/spreadsheetml/2006/main" xmlns:r="http://schemas.openxmlformats.org/officeDocument/2006/relationships">
  <dimension ref="A3:E31"/>
  <sheetViews>
    <sheetView view="pageLayout" zoomScaleNormal="100" workbookViewId="0">
      <selection activeCell="A23" sqref="A23"/>
    </sheetView>
  </sheetViews>
  <sheetFormatPr defaultRowHeight="12.75"/>
  <cols>
    <col min="1" max="1" width="49.85546875" style="179" customWidth="1"/>
    <col min="2" max="2" width="15.140625" style="179" customWidth="1"/>
    <col min="3" max="3" width="45.85546875" style="179" customWidth="1"/>
    <col min="4" max="4" width="20.7109375" style="179" customWidth="1"/>
    <col min="5" max="16384" width="9.140625" style="179"/>
  </cols>
  <sheetData>
    <row r="3" spans="1:5">
      <c r="A3" s="666"/>
      <c r="B3" s="666"/>
      <c r="C3" s="666"/>
      <c r="D3" s="666"/>
    </row>
    <row r="4" spans="1:5">
      <c r="A4" s="667"/>
      <c r="B4" s="667"/>
      <c r="C4" s="667"/>
      <c r="D4" s="667"/>
    </row>
    <row r="5" spans="1:5">
      <c r="A5" s="668" t="s">
        <v>81</v>
      </c>
      <c r="B5" s="668"/>
      <c r="C5" s="668"/>
      <c r="D5" s="668"/>
      <c r="E5" s="377"/>
    </row>
    <row r="6" spans="1:5">
      <c r="A6" s="668" t="s">
        <v>138</v>
      </c>
      <c r="B6" s="668"/>
      <c r="C6" s="668"/>
      <c r="D6" s="668"/>
      <c r="E6" s="377"/>
    </row>
    <row r="7" spans="1:5">
      <c r="A7" s="668" t="s">
        <v>23</v>
      </c>
      <c r="B7" s="668"/>
      <c r="C7" s="668"/>
      <c r="D7" s="668"/>
      <c r="E7" s="377"/>
    </row>
    <row r="8" spans="1:5" ht="12.75" customHeight="1">
      <c r="A8" s="668" t="s">
        <v>139</v>
      </c>
      <c r="B8" s="668"/>
      <c r="C8" s="668"/>
      <c r="D8" s="668"/>
      <c r="E8" s="377"/>
    </row>
    <row r="9" spans="1:5">
      <c r="A9" s="669">
        <v>2013</v>
      </c>
      <c r="B9" s="668"/>
      <c r="C9" s="668"/>
      <c r="D9" s="668"/>
      <c r="E9" s="377"/>
    </row>
    <row r="10" spans="1:5">
      <c r="A10" s="666"/>
      <c r="B10" s="666"/>
      <c r="C10" s="666"/>
      <c r="D10" s="666"/>
    </row>
    <row r="11" spans="1:5">
      <c r="A11" s="670" t="s">
        <v>144</v>
      </c>
      <c r="B11" s="670"/>
      <c r="C11" s="671">
        <v>1</v>
      </c>
      <c r="D11" s="672"/>
    </row>
    <row r="12" spans="1:5">
      <c r="A12" s="673" t="s">
        <v>140</v>
      </c>
      <c r="B12" s="674"/>
      <c r="C12" s="675" t="s">
        <v>141</v>
      </c>
      <c r="D12" s="673"/>
    </row>
    <row r="13" spans="1:5">
      <c r="A13" s="378" t="s">
        <v>142</v>
      </c>
      <c r="B13" s="378" t="s">
        <v>83</v>
      </c>
      <c r="C13" s="378" t="s">
        <v>142</v>
      </c>
      <c r="D13" s="379" t="s">
        <v>83</v>
      </c>
    </row>
    <row r="14" spans="1:5" ht="17.25" customHeight="1">
      <c r="A14" s="373" t="s">
        <v>427</v>
      </c>
      <c r="B14" s="374">
        <v>30000</v>
      </c>
      <c r="C14" s="375" t="s">
        <v>453</v>
      </c>
      <c r="D14" s="376">
        <v>121000</v>
      </c>
    </row>
    <row r="15" spans="1:5" ht="15">
      <c r="A15" s="373" t="s">
        <v>428</v>
      </c>
      <c r="B15" s="374">
        <v>10000</v>
      </c>
      <c r="C15" s="375" t="s">
        <v>454</v>
      </c>
      <c r="D15" s="375"/>
    </row>
    <row r="16" spans="1:5" ht="25.5">
      <c r="A16" s="373" t="s">
        <v>442</v>
      </c>
      <c r="B16" s="374">
        <v>26000</v>
      </c>
      <c r="C16" s="375"/>
      <c r="D16" s="375"/>
    </row>
    <row r="17" spans="1:5" ht="15">
      <c r="A17" s="373" t="s">
        <v>429</v>
      </c>
      <c r="B17" s="374">
        <v>55000</v>
      </c>
      <c r="C17" s="375"/>
      <c r="D17" s="375"/>
    </row>
    <row r="18" spans="1:5" ht="15">
      <c r="A18" s="382" t="s">
        <v>76</v>
      </c>
      <c r="B18" s="374">
        <f>SUM(B14:B17)</f>
        <v>121000</v>
      </c>
      <c r="C18" s="380" t="s">
        <v>76</v>
      </c>
      <c r="D18" s="374">
        <f>SUM(D14:D17)</f>
        <v>121000</v>
      </c>
    </row>
    <row r="19" spans="1:5" ht="25.5" customHeight="1">
      <c r="A19" s="665" t="s">
        <v>399</v>
      </c>
      <c r="B19" s="665"/>
      <c r="C19" s="381"/>
      <c r="D19" s="381"/>
    </row>
    <row r="21" spans="1:5">
      <c r="A21" s="181"/>
      <c r="B21" s="181"/>
      <c r="C21" s="181"/>
      <c r="D21" s="181"/>
      <c r="E21" s="181"/>
    </row>
    <row r="22" spans="1:5">
      <c r="A22" s="181" t="s">
        <v>634</v>
      </c>
      <c r="B22" s="181"/>
      <c r="C22" s="181"/>
      <c r="D22" s="181"/>
      <c r="E22" s="181"/>
    </row>
    <row r="23" spans="1:5">
      <c r="A23" s="181"/>
      <c r="B23" s="181"/>
      <c r="C23" s="181"/>
      <c r="D23" s="181"/>
      <c r="E23" s="181"/>
    </row>
    <row r="24" spans="1:5">
      <c r="A24" s="181"/>
      <c r="B24" s="181"/>
      <c r="C24" s="181"/>
      <c r="D24" s="181"/>
      <c r="E24" s="181"/>
    </row>
    <row r="25" spans="1:5">
      <c r="A25" s="181"/>
      <c r="B25" s="181"/>
      <c r="C25" s="181"/>
      <c r="D25" s="181"/>
      <c r="E25" s="181"/>
    </row>
    <row r="26" spans="1:5">
      <c r="A26" s="181"/>
      <c r="B26" s="181"/>
      <c r="C26" s="181"/>
      <c r="D26" s="181"/>
      <c r="E26" s="181"/>
    </row>
    <row r="27" spans="1:5">
      <c r="A27" s="181" t="s">
        <v>375</v>
      </c>
      <c r="B27" s="181" t="s">
        <v>411</v>
      </c>
      <c r="C27" s="181"/>
      <c r="D27" s="181" t="s">
        <v>584</v>
      </c>
      <c r="E27" s="181"/>
    </row>
    <row r="28" spans="1:5">
      <c r="A28" s="181" t="s">
        <v>412</v>
      </c>
      <c r="B28" s="181" t="s">
        <v>413</v>
      </c>
      <c r="C28" s="181"/>
      <c r="D28" s="181" t="s">
        <v>414</v>
      </c>
      <c r="E28" s="181"/>
    </row>
    <row r="29" spans="1:5">
      <c r="A29" s="181"/>
      <c r="B29" s="181"/>
      <c r="C29" s="181"/>
      <c r="D29" s="181"/>
      <c r="E29" s="181"/>
    </row>
    <row r="30" spans="1:5">
      <c r="A30" s="181"/>
      <c r="B30" s="181"/>
      <c r="C30" s="181"/>
      <c r="D30" s="181"/>
      <c r="E30" s="181"/>
    </row>
    <row r="31" spans="1:5">
      <c r="A31" s="254"/>
      <c r="B31" s="254"/>
      <c r="C31" s="254"/>
      <c r="D31" s="254"/>
      <c r="E31" s="254"/>
    </row>
  </sheetData>
  <mergeCells count="13">
    <mergeCell ref="A19:B19"/>
    <mergeCell ref="A3:D3"/>
    <mergeCell ref="A4:D4"/>
    <mergeCell ref="A5:D5"/>
    <mergeCell ref="A10:D10"/>
    <mergeCell ref="A6:D6"/>
    <mergeCell ref="A7:D7"/>
    <mergeCell ref="A8:D8"/>
    <mergeCell ref="A9:D9"/>
    <mergeCell ref="A11:B11"/>
    <mergeCell ref="C11:D11"/>
    <mergeCell ref="A12:B12"/>
    <mergeCell ref="C12:D12"/>
  </mergeCells>
  <phoneticPr fontId="6" type="noConversion"/>
  <pageMargins left="0.78740157499999996" right="0.78740157499999996" top="0.984251969" bottom="0.984251969" header="0.49212598499999999" footer="0.49212598499999999"/>
  <pageSetup paperSize="9" orientation="landscape" verticalDpi="0" r:id="rId1"/>
  <headerFooter alignWithMargins="0">
    <oddHeader>&amp;LESTADO DO RIO GRANDE DO SUL
PREFEITURA MUNICIPAL DE BOA VISTA DO CADEADO</oddHeader>
  </headerFooter>
</worksheet>
</file>

<file path=xl/worksheets/sheet15.xml><?xml version="1.0" encoding="utf-8"?>
<worksheet xmlns="http://schemas.openxmlformats.org/spreadsheetml/2006/main" xmlns:r="http://schemas.openxmlformats.org/officeDocument/2006/relationships">
  <dimension ref="A1:E90"/>
  <sheetViews>
    <sheetView showWhiteSpace="0" view="pageLayout" topLeftCell="A58" zoomScaleNormal="100" workbookViewId="0">
      <selection activeCell="A6" sqref="A6"/>
    </sheetView>
  </sheetViews>
  <sheetFormatPr defaultRowHeight="12.75"/>
  <cols>
    <col min="1" max="1" width="7.7109375" style="179" customWidth="1"/>
    <col min="2" max="2" width="52.85546875" style="179" customWidth="1"/>
    <col min="3" max="3" width="22" style="179" customWidth="1"/>
    <col min="4" max="4" width="13.85546875" style="179" customWidth="1"/>
    <col min="5" max="16384" width="9.140625" style="179"/>
  </cols>
  <sheetData>
    <row r="1" spans="1:4">
      <c r="A1" s="668" t="s">
        <v>81</v>
      </c>
      <c r="B1" s="668"/>
      <c r="C1" s="668"/>
      <c r="D1" s="377"/>
    </row>
    <row r="2" spans="1:4">
      <c r="A2" s="668" t="s">
        <v>138</v>
      </c>
      <c r="B2" s="668"/>
      <c r="C2" s="668"/>
      <c r="D2" s="377"/>
    </row>
    <row r="3" spans="1:4">
      <c r="A3" s="668" t="s">
        <v>143</v>
      </c>
      <c r="B3" s="668"/>
      <c r="C3" s="668"/>
      <c r="D3" s="377"/>
    </row>
    <row r="4" spans="1:4" ht="12.75" customHeight="1">
      <c r="A4" s="668" t="s">
        <v>165</v>
      </c>
      <c r="B4" s="668"/>
      <c r="C4" s="668"/>
      <c r="D4" s="377"/>
    </row>
    <row r="5" spans="1:4">
      <c r="A5" s="669">
        <v>2013</v>
      </c>
      <c r="B5" s="668"/>
      <c r="C5" s="668"/>
      <c r="D5" s="377"/>
    </row>
    <row r="7" spans="1:4" ht="30.75" customHeight="1">
      <c r="A7" s="678" t="s">
        <v>430</v>
      </c>
      <c r="B7" s="678"/>
      <c r="C7" s="678"/>
      <c r="D7" s="678"/>
    </row>
    <row r="8" spans="1:4" ht="13.5" thickBot="1">
      <c r="A8" s="383"/>
      <c r="D8" s="384">
        <v>1</v>
      </c>
    </row>
    <row r="9" spans="1:4" ht="51.75" thickBot="1">
      <c r="A9" s="385" t="s">
        <v>443</v>
      </c>
      <c r="B9" s="385" t="s">
        <v>431</v>
      </c>
      <c r="C9" s="385" t="s">
        <v>145</v>
      </c>
      <c r="D9" s="386" t="s">
        <v>432</v>
      </c>
    </row>
    <row r="10" spans="1:4" ht="13.5" thickBot="1">
      <c r="A10" s="387">
        <v>1001</v>
      </c>
      <c r="B10" s="388" t="s">
        <v>455</v>
      </c>
      <c r="C10" s="389">
        <v>41274</v>
      </c>
      <c r="D10" s="390">
        <v>8000</v>
      </c>
    </row>
    <row r="11" spans="1:4" ht="13.5" thickBot="1">
      <c r="A11" s="387">
        <v>1002</v>
      </c>
      <c r="B11" s="388" t="s">
        <v>433</v>
      </c>
      <c r="C11" s="389">
        <v>40967</v>
      </c>
      <c r="D11" s="390">
        <v>60000</v>
      </c>
    </row>
    <row r="12" spans="1:4" ht="13.5" thickBot="1">
      <c r="A12" s="387">
        <v>1003</v>
      </c>
      <c r="B12" s="388" t="s">
        <v>456</v>
      </c>
      <c r="C12" s="389">
        <v>41274</v>
      </c>
      <c r="D12" s="390">
        <v>82000</v>
      </c>
    </row>
    <row r="13" spans="1:4" ht="13.5" thickBot="1">
      <c r="A13" s="387">
        <v>1004</v>
      </c>
      <c r="B13" s="388" t="s">
        <v>622</v>
      </c>
      <c r="C13" s="389">
        <v>41274</v>
      </c>
      <c r="D13" s="390">
        <v>58000</v>
      </c>
    </row>
    <row r="14" spans="1:4" ht="13.5" thickBot="1">
      <c r="A14" s="387">
        <v>1005</v>
      </c>
      <c r="B14" s="388" t="s">
        <v>457</v>
      </c>
      <c r="C14" s="389"/>
      <c r="D14" s="391">
        <v>0</v>
      </c>
    </row>
    <row r="15" spans="1:4" ht="13.5" thickBot="1">
      <c r="A15" s="387">
        <v>1006</v>
      </c>
      <c r="B15" s="388" t="s">
        <v>458</v>
      </c>
      <c r="C15" s="389">
        <v>41274</v>
      </c>
      <c r="D15" s="390">
        <v>11000</v>
      </c>
    </row>
    <row r="16" spans="1:4" ht="13.5" thickBot="1">
      <c r="A16" s="387">
        <v>1007</v>
      </c>
      <c r="B16" s="388" t="s">
        <v>459</v>
      </c>
      <c r="C16" s="389">
        <v>41274</v>
      </c>
      <c r="D16" s="390">
        <v>5000</v>
      </c>
    </row>
    <row r="17" spans="1:4" ht="13.5" thickBot="1">
      <c r="A17" s="387">
        <v>1008</v>
      </c>
      <c r="B17" s="388" t="s">
        <v>460</v>
      </c>
      <c r="C17" s="389">
        <v>41274</v>
      </c>
      <c r="D17" s="391">
        <v>141000</v>
      </c>
    </row>
    <row r="18" spans="1:4" ht="13.5" thickBot="1">
      <c r="A18" s="387">
        <v>1009</v>
      </c>
      <c r="B18" s="388" t="s">
        <v>461</v>
      </c>
      <c r="C18" s="389">
        <v>41274</v>
      </c>
      <c r="D18" s="390">
        <v>23000</v>
      </c>
    </row>
    <row r="19" spans="1:4" ht="13.5" thickBot="1">
      <c r="A19" s="387">
        <v>1010</v>
      </c>
      <c r="B19" s="388" t="s">
        <v>462</v>
      </c>
      <c r="C19" s="389">
        <v>41274</v>
      </c>
      <c r="D19" s="390">
        <v>0</v>
      </c>
    </row>
    <row r="20" spans="1:4" ht="13.5" thickBot="1">
      <c r="A20" s="387">
        <v>1011</v>
      </c>
      <c r="B20" s="388" t="s">
        <v>433</v>
      </c>
      <c r="C20" s="389">
        <v>41274</v>
      </c>
      <c r="D20" s="390">
        <v>0</v>
      </c>
    </row>
    <row r="21" spans="1:4" ht="13.5" thickBot="1">
      <c r="A21" s="387">
        <v>1012</v>
      </c>
      <c r="B21" s="388" t="s">
        <v>463</v>
      </c>
      <c r="C21" s="389">
        <v>41274</v>
      </c>
      <c r="D21" s="390">
        <v>12000</v>
      </c>
    </row>
    <row r="22" spans="1:4" ht="13.5" thickBot="1">
      <c r="A22" s="387">
        <v>1013</v>
      </c>
      <c r="B22" s="388" t="s">
        <v>464</v>
      </c>
      <c r="C22" s="389">
        <v>41274</v>
      </c>
      <c r="D22" s="390">
        <v>43220.42</v>
      </c>
    </row>
    <row r="23" spans="1:4" ht="13.5" thickBot="1">
      <c r="A23" s="387">
        <v>1014</v>
      </c>
      <c r="B23" s="388" t="s">
        <v>465</v>
      </c>
      <c r="C23" s="389">
        <v>41274</v>
      </c>
      <c r="D23" s="390">
        <v>270000</v>
      </c>
    </row>
    <row r="24" spans="1:4" ht="13.5" thickBot="1">
      <c r="A24" s="387">
        <v>1015</v>
      </c>
      <c r="B24" s="388" t="s">
        <v>466</v>
      </c>
      <c r="C24" s="389">
        <v>41274</v>
      </c>
      <c r="D24" s="390">
        <v>166576.21</v>
      </c>
    </row>
    <row r="25" spans="1:4" ht="13.5" thickBot="1">
      <c r="A25" s="387">
        <v>1016</v>
      </c>
      <c r="B25" s="388" t="s">
        <v>466</v>
      </c>
      <c r="C25" s="389">
        <v>41274</v>
      </c>
      <c r="D25" s="390">
        <v>0</v>
      </c>
    </row>
    <row r="26" spans="1:4" ht="13.5" thickBot="1">
      <c r="A26" s="387">
        <v>1017</v>
      </c>
      <c r="B26" s="388" t="s">
        <v>467</v>
      </c>
      <c r="C26" s="389">
        <v>41274</v>
      </c>
      <c r="D26" s="390">
        <v>3000</v>
      </c>
    </row>
    <row r="27" spans="1:4" ht="13.5" thickBot="1">
      <c r="A27" s="387">
        <v>1018</v>
      </c>
      <c r="B27" s="388" t="s">
        <v>468</v>
      </c>
      <c r="C27" s="389">
        <v>41274</v>
      </c>
      <c r="D27" s="390">
        <v>50000</v>
      </c>
    </row>
    <row r="28" spans="1:4" ht="13.5" thickBot="1">
      <c r="A28" s="387">
        <v>1019</v>
      </c>
      <c r="B28" s="388" t="s">
        <v>469</v>
      </c>
      <c r="C28" s="389"/>
      <c r="D28" s="390"/>
    </row>
    <row r="29" spans="1:4" ht="13.5" thickBot="1">
      <c r="A29" s="387">
        <v>1020</v>
      </c>
      <c r="B29" s="388" t="s">
        <v>470</v>
      </c>
      <c r="C29" s="389"/>
      <c r="D29" s="390"/>
    </row>
    <row r="30" spans="1:4" ht="13.5" thickBot="1">
      <c r="A30" s="387">
        <v>1021</v>
      </c>
      <c r="B30" s="388" t="s">
        <v>471</v>
      </c>
      <c r="C30" s="389">
        <v>41274</v>
      </c>
      <c r="D30" s="390">
        <v>42200</v>
      </c>
    </row>
    <row r="31" spans="1:4" ht="13.5" thickBot="1">
      <c r="A31" s="387">
        <v>1022</v>
      </c>
      <c r="B31" s="388" t="s">
        <v>472</v>
      </c>
      <c r="C31" s="389">
        <v>41274</v>
      </c>
      <c r="D31" s="390">
        <v>70000</v>
      </c>
    </row>
    <row r="32" spans="1:4" ht="13.5" thickBot="1">
      <c r="A32" s="387">
        <v>1023</v>
      </c>
      <c r="B32" s="388" t="s">
        <v>473</v>
      </c>
      <c r="C32" s="389">
        <v>40755</v>
      </c>
      <c r="D32" s="390">
        <v>0</v>
      </c>
    </row>
    <row r="33" spans="1:4" ht="13.5" thickBot="1">
      <c r="A33" s="387">
        <v>1024</v>
      </c>
      <c r="B33" s="388" t="s">
        <v>474</v>
      </c>
      <c r="C33" s="389">
        <v>41274</v>
      </c>
      <c r="D33" s="391">
        <v>49000</v>
      </c>
    </row>
    <row r="34" spans="1:4" ht="13.5" thickBot="1">
      <c r="A34" s="387">
        <v>1025</v>
      </c>
      <c r="B34" s="388" t="s">
        <v>475</v>
      </c>
      <c r="C34" s="389">
        <v>41274</v>
      </c>
      <c r="D34" s="390">
        <v>47500</v>
      </c>
    </row>
    <row r="35" spans="1:4" ht="13.5" thickBot="1">
      <c r="A35" s="387">
        <v>1026</v>
      </c>
      <c r="B35" s="388" t="s">
        <v>476</v>
      </c>
      <c r="C35" s="389"/>
      <c r="D35" s="390"/>
    </row>
    <row r="36" spans="1:4" ht="13.5" thickBot="1">
      <c r="A36" s="387">
        <v>1027</v>
      </c>
      <c r="B36" s="388" t="s">
        <v>477</v>
      </c>
      <c r="C36" s="389">
        <v>41274</v>
      </c>
      <c r="D36" s="390">
        <v>5000</v>
      </c>
    </row>
    <row r="37" spans="1:4" ht="13.5" thickBot="1">
      <c r="A37" s="387">
        <v>1028</v>
      </c>
      <c r="B37" s="388" t="s">
        <v>478</v>
      </c>
      <c r="C37" s="389">
        <v>41274</v>
      </c>
      <c r="D37" s="390">
        <v>60000</v>
      </c>
    </row>
    <row r="38" spans="1:4" ht="13.5" thickBot="1">
      <c r="A38" s="387">
        <v>1029</v>
      </c>
      <c r="B38" s="388" t="s">
        <v>479</v>
      </c>
      <c r="C38" s="389"/>
      <c r="D38" s="390"/>
    </row>
    <row r="39" spans="1:4" ht="13.5" thickBot="1">
      <c r="A39" s="387">
        <v>1030</v>
      </c>
      <c r="B39" s="388" t="s">
        <v>480</v>
      </c>
      <c r="C39" s="389"/>
      <c r="D39" s="390"/>
    </row>
    <row r="40" spans="1:4" ht="13.5" thickBot="1">
      <c r="A40" s="387">
        <v>1031</v>
      </c>
      <c r="B40" s="388" t="s">
        <v>481</v>
      </c>
      <c r="C40" s="389">
        <v>41274</v>
      </c>
      <c r="D40" s="390">
        <v>4000</v>
      </c>
    </row>
    <row r="41" spans="1:4" ht="13.5" thickBot="1">
      <c r="A41" s="387">
        <v>1032</v>
      </c>
      <c r="B41" s="388" t="s">
        <v>466</v>
      </c>
      <c r="C41" s="389"/>
      <c r="D41" s="390"/>
    </row>
    <row r="42" spans="1:4" ht="13.5" thickBot="1">
      <c r="A42" s="387">
        <v>1033</v>
      </c>
      <c r="B42" s="388" t="s">
        <v>482</v>
      </c>
      <c r="C42" s="389">
        <v>41274</v>
      </c>
      <c r="D42" s="390">
        <v>11000</v>
      </c>
    </row>
    <row r="43" spans="1:4" ht="13.5" thickBot="1">
      <c r="A43" s="387">
        <v>1034</v>
      </c>
      <c r="B43" s="388" t="s">
        <v>435</v>
      </c>
      <c r="C43" s="389">
        <v>41274</v>
      </c>
      <c r="D43" s="390">
        <v>245000</v>
      </c>
    </row>
    <row r="44" spans="1:4" ht="13.5" thickBot="1">
      <c r="A44" s="387">
        <v>1035</v>
      </c>
      <c r="B44" s="388" t="s">
        <v>499</v>
      </c>
      <c r="C44" s="389">
        <v>41274</v>
      </c>
      <c r="D44" s="390">
        <v>9000</v>
      </c>
    </row>
    <row r="45" spans="1:4" ht="13.5" thickBot="1">
      <c r="A45" s="387">
        <v>1036</v>
      </c>
      <c r="B45" s="388" t="s">
        <v>483</v>
      </c>
      <c r="C45" s="389">
        <v>41274</v>
      </c>
      <c r="D45" s="390">
        <v>102000</v>
      </c>
    </row>
    <row r="46" spans="1:4" ht="14.25" customHeight="1" thickBot="1">
      <c r="A46" s="387">
        <v>1037</v>
      </c>
      <c r="B46" s="388" t="s">
        <v>484</v>
      </c>
      <c r="C46" s="389">
        <v>41274</v>
      </c>
      <c r="D46" s="390">
        <v>174500</v>
      </c>
    </row>
    <row r="47" spans="1:4" ht="13.5" thickBot="1">
      <c r="A47" s="387">
        <v>1038</v>
      </c>
      <c r="B47" s="388" t="s">
        <v>485</v>
      </c>
      <c r="C47" s="389">
        <v>41274</v>
      </c>
      <c r="D47" s="390">
        <v>3000</v>
      </c>
    </row>
    <row r="48" spans="1:4" ht="13.5" thickBot="1">
      <c r="A48" s="387">
        <v>1039</v>
      </c>
      <c r="B48" s="388" t="s">
        <v>486</v>
      </c>
      <c r="C48" s="389"/>
      <c r="D48" s="390"/>
    </row>
    <row r="49" spans="1:4" ht="13.5" thickBot="1">
      <c r="A49" s="387">
        <v>1040</v>
      </c>
      <c r="B49" s="388" t="s">
        <v>487</v>
      </c>
      <c r="C49" s="499">
        <v>41274</v>
      </c>
      <c r="D49" s="500">
        <v>2000</v>
      </c>
    </row>
    <row r="50" spans="1:4" ht="13.5" thickBot="1">
      <c r="A50" s="387">
        <v>1041</v>
      </c>
      <c r="B50" s="388" t="s">
        <v>488</v>
      </c>
      <c r="C50" s="499">
        <v>41274</v>
      </c>
      <c r="D50" s="500">
        <v>10000</v>
      </c>
    </row>
    <row r="51" spans="1:4" ht="13.5" thickBot="1">
      <c r="A51" s="387">
        <v>1042</v>
      </c>
      <c r="B51" s="388" t="s">
        <v>489</v>
      </c>
      <c r="C51" s="389">
        <v>41274</v>
      </c>
      <c r="D51" s="390">
        <v>322500</v>
      </c>
    </row>
    <row r="52" spans="1:4" ht="13.5" thickBot="1">
      <c r="A52" s="387">
        <v>1043</v>
      </c>
      <c r="B52" s="388" t="s">
        <v>490</v>
      </c>
      <c r="C52" s="389">
        <v>41274</v>
      </c>
      <c r="D52" s="390">
        <v>13000</v>
      </c>
    </row>
    <row r="53" spans="1:4" ht="13.5" thickBot="1">
      <c r="A53" s="387">
        <v>1044</v>
      </c>
      <c r="B53" s="388" t="s">
        <v>491</v>
      </c>
      <c r="C53" s="499">
        <v>41274</v>
      </c>
      <c r="D53" s="500">
        <v>635200</v>
      </c>
    </row>
    <row r="54" spans="1:4" ht="13.5" thickBot="1">
      <c r="A54" s="387">
        <v>1045</v>
      </c>
      <c r="B54" s="388" t="s">
        <v>492</v>
      </c>
      <c r="C54" s="499">
        <v>41274</v>
      </c>
      <c r="D54" s="500">
        <v>22000</v>
      </c>
    </row>
    <row r="55" spans="1:4" ht="13.5" thickBot="1">
      <c r="A55" s="387">
        <v>1046</v>
      </c>
      <c r="B55" s="388" t="s">
        <v>493</v>
      </c>
      <c r="C55" s="499">
        <v>41274</v>
      </c>
      <c r="D55" s="500">
        <v>24000</v>
      </c>
    </row>
    <row r="56" spans="1:4" ht="13.5" thickBot="1">
      <c r="A56" s="387">
        <v>1047</v>
      </c>
      <c r="B56" s="388" t="s">
        <v>494</v>
      </c>
      <c r="C56" s="389"/>
      <c r="D56" s="390"/>
    </row>
    <row r="57" spans="1:4" ht="13.5" thickBot="1">
      <c r="A57" s="387">
        <v>1048</v>
      </c>
      <c r="B57" s="388" t="s">
        <v>495</v>
      </c>
      <c r="C57" s="389">
        <v>41274</v>
      </c>
      <c r="D57" s="390">
        <v>14000</v>
      </c>
    </row>
    <row r="58" spans="1:4" ht="13.5" thickBot="1">
      <c r="A58" s="387">
        <v>1049</v>
      </c>
      <c r="B58" s="388" t="s">
        <v>466</v>
      </c>
      <c r="C58" s="389"/>
      <c r="D58" s="390"/>
    </row>
    <row r="59" spans="1:4" ht="13.5" thickBot="1">
      <c r="A59" s="387">
        <v>1050</v>
      </c>
      <c r="B59" s="388" t="s">
        <v>496</v>
      </c>
      <c r="C59" s="389">
        <v>40908</v>
      </c>
      <c r="D59" s="390">
        <v>0</v>
      </c>
    </row>
    <row r="60" spans="1:4" ht="13.5" thickBot="1">
      <c r="A60" s="387">
        <v>1051</v>
      </c>
      <c r="B60" s="388" t="s">
        <v>497</v>
      </c>
      <c r="C60" s="389">
        <v>40908</v>
      </c>
      <c r="D60" s="390">
        <v>2040.27</v>
      </c>
    </row>
    <row r="61" spans="1:4" ht="13.5" thickBot="1">
      <c r="A61" s="387">
        <v>1052</v>
      </c>
      <c r="B61" s="388" t="s">
        <v>498</v>
      </c>
      <c r="C61" s="389">
        <v>41274</v>
      </c>
      <c r="D61" s="390">
        <v>2000</v>
      </c>
    </row>
    <row r="62" spans="1:4" ht="13.5" thickBot="1">
      <c r="A62" s="387">
        <v>1053</v>
      </c>
      <c r="B62" s="388" t="s">
        <v>570</v>
      </c>
      <c r="C62" s="389"/>
      <c r="D62" s="390"/>
    </row>
    <row r="63" spans="1:4" ht="13.5" thickBot="1">
      <c r="A63" s="387">
        <v>1055</v>
      </c>
      <c r="B63" s="388" t="s">
        <v>625</v>
      </c>
      <c r="C63" s="499">
        <v>41274</v>
      </c>
      <c r="D63" s="500">
        <v>20000</v>
      </c>
    </row>
    <row r="64" spans="1:4" ht="13.5" thickBot="1">
      <c r="A64" s="387">
        <v>1056</v>
      </c>
      <c r="B64" s="388" t="s">
        <v>623</v>
      </c>
      <c r="C64" s="389">
        <v>41274</v>
      </c>
      <c r="D64" s="390">
        <v>95000</v>
      </c>
    </row>
    <row r="65" spans="1:5" ht="13.5" thickBot="1">
      <c r="A65" s="387">
        <v>1057</v>
      </c>
      <c r="B65" s="388" t="s">
        <v>624</v>
      </c>
      <c r="C65" s="389">
        <v>41060</v>
      </c>
      <c r="D65" s="390">
        <v>54900</v>
      </c>
    </row>
    <row r="66" spans="1:5" ht="13.5" thickBot="1">
      <c r="A66" s="392" t="s">
        <v>20</v>
      </c>
      <c r="B66" s="392"/>
      <c r="C66" s="392"/>
      <c r="D66" s="393">
        <f>SUM(D10:D65)</f>
        <v>2971636.9</v>
      </c>
    </row>
    <row r="67" spans="1:5">
      <c r="A67" s="447" t="s">
        <v>571</v>
      </c>
      <c r="B67" s="447" t="s">
        <v>572</v>
      </c>
      <c r="C67" s="447"/>
      <c r="D67" s="448"/>
    </row>
    <row r="68" spans="1:5">
      <c r="A68" s="447"/>
      <c r="B68" s="447"/>
      <c r="C68" s="447"/>
      <c r="D68" s="448"/>
    </row>
    <row r="69" spans="1:5">
      <c r="A69" s="447"/>
      <c r="B69" s="447"/>
      <c r="C69" s="447"/>
      <c r="D69" s="448"/>
    </row>
    <row r="70" spans="1:5">
      <c r="A70" s="447"/>
      <c r="B70" s="447"/>
      <c r="C70" s="447"/>
      <c r="D70" s="448"/>
    </row>
    <row r="71" spans="1:5" ht="17.25" customHeight="1">
      <c r="A71" s="394" t="s">
        <v>415</v>
      </c>
    </row>
    <row r="72" spans="1:5" ht="35.25" customHeight="1">
      <c r="A72" s="676" t="s">
        <v>626</v>
      </c>
      <c r="B72" s="676"/>
      <c r="C72" s="676"/>
      <c r="D72" s="676"/>
      <c r="E72" s="395"/>
    </row>
    <row r="73" spans="1:5" ht="52.5" customHeight="1">
      <c r="A73" s="676" t="s">
        <v>627</v>
      </c>
      <c r="B73" s="676"/>
      <c r="C73" s="676"/>
      <c r="D73" s="676"/>
    </row>
    <row r="74" spans="1:5">
      <c r="A74" s="394"/>
    </row>
    <row r="75" spans="1:5">
      <c r="A75" s="394"/>
    </row>
    <row r="76" spans="1:5">
      <c r="A76" s="677" t="s">
        <v>434</v>
      </c>
      <c r="B76" s="677"/>
      <c r="C76" s="677"/>
      <c r="D76" s="677"/>
    </row>
    <row r="77" spans="1:5">
      <c r="A77" s="394"/>
    </row>
    <row r="78" spans="1:5" ht="26.25" customHeight="1">
      <c r="A78" s="676" t="s">
        <v>628</v>
      </c>
      <c r="B78" s="676"/>
      <c r="C78" s="676"/>
      <c r="D78" s="676"/>
    </row>
    <row r="79" spans="1:5" ht="27" customHeight="1">
      <c r="A79" s="676" t="s">
        <v>500</v>
      </c>
      <c r="B79" s="676"/>
      <c r="C79" s="676"/>
      <c r="D79" s="676"/>
    </row>
    <row r="80" spans="1:5">
      <c r="A80" s="676"/>
      <c r="B80" s="676"/>
      <c r="C80" s="676"/>
      <c r="D80" s="676"/>
    </row>
    <row r="81" spans="1:5">
      <c r="A81" s="181" t="s">
        <v>632</v>
      </c>
      <c r="B81" s="181"/>
      <c r="C81" s="181"/>
      <c r="D81" s="181"/>
      <c r="E81" s="181"/>
    </row>
    <row r="82" spans="1:5">
      <c r="A82" s="181"/>
      <c r="B82" s="181"/>
      <c r="C82" s="181"/>
      <c r="D82" s="181"/>
      <c r="E82" s="181"/>
    </row>
    <row r="83" spans="1:5">
      <c r="A83" s="181"/>
      <c r="B83" s="181"/>
      <c r="C83" s="181"/>
      <c r="D83" s="181"/>
      <c r="E83" s="181"/>
    </row>
    <row r="84" spans="1:5">
      <c r="A84" s="181"/>
      <c r="B84" s="181"/>
      <c r="C84" s="181"/>
      <c r="D84" s="181"/>
      <c r="E84" s="181"/>
    </row>
    <row r="85" spans="1:5">
      <c r="A85" s="181"/>
      <c r="B85" s="181"/>
      <c r="C85" s="181"/>
      <c r="D85" s="181"/>
      <c r="E85" s="181"/>
    </row>
    <row r="86" spans="1:5" ht="15.75" customHeight="1">
      <c r="A86" s="181" t="s">
        <v>436</v>
      </c>
      <c r="B86" s="181"/>
      <c r="C86" s="181"/>
      <c r="D86" s="181" t="s">
        <v>584</v>
      </c>
      <c r="E86" s="181"/>
    </row>
    <row r="87" spans="1:5">
      <c r="A87" s="181" t="s">
        <v>437</v>
      </c>
      <c r="B87" s="181"/>
      <c r="C87" s="181"/>
      <c r="D87" s="181" t="s">
        <v>414</v>
      </c>
      <c r="E87" s="181"/>
    </row>
    <row r="88" spans="1:5">
      <c r="A88" s="181"/>
      <c r="B88" s="181"/>
      <c r="C88" s="181"/>
      <c r="D88" s="181"/>
      <c r="E88" s="181"/>
    </row>
    <row r="89" spans="1:5">
      <c r="A89" s="181"/>
      <c r="B89" s="181"/>
      <c r="C89" s="181"/>
      <c r="D89" s="181"/>
      <c r="E89" s="181"/>
    </row>
    <row r="90" spans="1:5">
      <c r="A90" s="254"/>
      <c r="B90" s="254"/>
      <c r="C90" s="254"/>
      <c r="D90" s="254"/>
      <c r="E90" s="254"/>
    </row>
  </sheetData>
  <mergeCells count="12">
    <mergeCell ref="A76:D76"/>
    <mergeCell ref="A78:D78"/>
    <mergeCell ref="A79:D79"/>
    <mergeCell ref="A80:D80"/>
    <mergeCell ref="A7:D7"/>
    <mergeCell ref="A1:C1"/>
    <mergeCell ref="A2:C2"/>
    <mergeCell ref="A3:C3"/>
    <mergeCell ref="A4:C4"/>
    <mergeCell ref="A73:D73"/>
    <mergeCell ref="A72:D72"/>
    <mergeCell ref="A5:C5"/>
  </mergeCells>
  <phoneticPr fontId="6" type="noConversion"/>
  <pageMargins left="1.3385826771653544" right="0.78740157480314965" top="0.98425196850393704" bottom="0.98425196850393704" header="0.51181102362204722" footer="0.51181102362204722"/>
  <pageSetup paperSize="9" scale="75" orientation="portrait" verticalDpi="0" r:id="rId1"/>
  <headerFooter alignWithMargins="0">
    <oddHeader xml:space="preserve">&amp;LESTADO DO RIO GRANDE DO SUL
PREFEITURA MUNICIPAL DE BOA VISTA DO CADEADO
</oddHeader>
  </headerFooter>
  <legacyDrawing r:id="rId2"/>
</worksheet>
</file>

<file path=xl/worksheets/sheet16.xml><?xml version="1.0" encoding="utf-8"?>
<worksheet xmlns="http://schemas.openxmlformats.org/spreadsheetml/2006/main" xmlns:r="http://schemas.openxmlformats.org/officeDocument/2006/relationships">
  <dimension ref="A1:L85"/>
  <sheetViews>
    <sheetView tabSelected="1" view="pageLayout" topLeftCell="A41" zoomScaleNormal="75" workbookViewId="0">
      <selection activeCell="F60" sqref="F60"/>
    </sheetView>
  </sheetViews>
  <sheetFormatPr defaultRowHeight="12.75"/>
  <cols>
    <col min="1" max="1" width="30.42578125" style="179" customWidth="1"/>
    <col min="2" max="2" width="14.7109375" style="179" customWidth="1"/>
    <col min="3" max="3" width="15.85546875" style="179" customWidth="1"/>
    <col min="4" max="4" width="13.85546875" style="179" customWidth="1"/>
    <col min="5" max="5" width="14.28515625" style="179" customWidth="1"/>
    <col min="6" max="6" width="11.42578125" style="179" customWidth="1"/>
    <col min="7" max="7" width="12.5703125" style="179" customWidth="1"/>
    <col min="8" max="8" width="12.85546875" style="179" customWidth="1"/>
    <col min="9" max="9" width="14" style="179" customWidth="1"/>
    <col min="10" max="10" width="13.140625" style="179" customWidth="1"/>
    <col min="11" max="11" width="12" style="179" customWidth="1"/>
    <col min="12" max="16384" width="9.140625" style="179"/>
  </cols>
  <sheetData>
    <row r="1" spans="1:12" ht="12.75" customHeight="1">
      <c r="A1" s="668" t="s">
        <v>81</v>
      </c>
      <c r="B1" s="668"/>
      <c r="C1" s="668"/>
      <c r="D1" s="668"/>
      <c r="E1" s="668"/>
      <c r="F1" s="668"/>
      <c r="G1" s="668"/>
      <c r="H1" s="668"/>
      <c r="I1" s="668"/>
    </row>
    <row r="2" spans="1:12">
      <c r="A2" s="668" t="s">
        <v>146</v>
      </c>
      <c r="B2" s="668"/>
      <c r="C2" s="668"/>
      <c r="D2" s="668"/>
      <c r="E2" s="668"/>
      <c r="F2" s="668"/>
      <c r="G2" s="668"/>
      <c r="H2" s="668"/>
      <c r="I2" s="668"/>
    </row>
    <row r="3" spans="1:12" ht="12.75" customHeight="1">
      <c r="A3" s="668" t="s">
        <v>151</v>
      </c>
      <c r="B3" s="668"/>
      <c r="C3" s="668"/>
      <c r="D3" s="668"/>
      <c r="E3" s="668"/>
      <c r="F3" s="668"/>
      <c r="G3" s="668"/>
      <c r="H3" s="668"/>
      <c r="I3" s="668"/>
    </row>
    <row r="4" spans="1:12">
      <c r="A4" s="679">
        <v>2013</v>
      </c>
      <c r="B4" s="508"/>
      <c r="C4" s="508"/>
      <c r="D4" s="508"/>
      <c r="E4" s="508"/>
      <c r="F4" s="508"/>
      <c r="G4" s="508"/>
      <c r="H4" s="508"/>
      <c r="I4" s="508"/>
    </row>
    <row r="5" spans="1:12">
      <c r="A5" s="507"/>
      <c r="B5" s="507"/>
      <c r="C5" s="507"/>
      <c r="D5" s="507"/>
      <c r="E5" s="507"/>
      <c r="F5" s="507"/>
      <c r="G5" s="507"/>
      <c r="H5" s="507"/>
      <c r="I5" s="507"/>
    </row>
    <row r="6" spans="1:12">
      <c r="A6" s="298"/>
      <c r="I6" s="298"/>
      <c r="J6" s="298"/>
      <c r="K6" s="298"/>
    </row>
    <row r="7" spans="1:12" ht="24.75" customHeight="1" thickBot="1">
      <c r="A7" s="685" t="s">
        <v>147</v>
      </c>
      <c r="B7" s="683" t="s">
        <v>148</v>
      </c>
      <c r="C7" s="683" t="s">
        <v>149</v>
      </c>
      <c r="D7" s="683" t="s">
        <v>210</v>
      </c>
      <c r="E7" s="683" t="s">
        <v>211</v>
      </c>
      <c r="F7" s="683" t="s">
        <v>212</v>
      </c>
      <c r="G7" s="680" t="s">
        <v>501</v>
      </c>
      <c r="H7" s="681"/>
      <c r="I7" s="681"/>
      <c r="J7" s="681"/>
      <c r="K7" s="682"/>
    </row>
    <row r="8" spans="1:12" ht="49.5" customHeight="1" thickBot="1">
      <c r="A8" s="686"/>
      <c r="B8" s="684"/>
      <c r="C8" s="684"/>
      <c r="D8" s="684"/>
      <c r="E8" s="684"/>
      <c r="F8" s="684"/>
      <c r="G8" s="459" t="s">
        <v>201</v>
      </c>
      <c r="H8" s="459" t="s">
        <v>202</v>
      </c>
      <c r="I8" s="460" t="s">
        <v>203</v>
      </c>
      <c r="J8" s="460" t="s">
        <v>204</v>
      </c>
      <c r="K8" s="461" t="s">
        <v>205</v>
      </c>
      <c r="L8" s="298"/>
    </row>
    <row r="9" spans="1:12" ht="18" customHeight="1">
      <c r="A9" s="462" t="s">
        <v>150</v>
      </c>
      <c r="B9" s="462" t="s">
        <v>502</v>
      </c>
      <c r="C9" s="462"/>
      <c r="D9" s="462"/>
      <c r="E9" s="462"/>
      <c r="F9" s="462"/>
      <c r="G9" s="463"/>
      <c r="H9" s="463"/>
      <c r="I9" s="464"/>
      <c r="J9" s="464"/>
      <c r="K9" s="465"/>
    </row>
    <row r="10" spans="1:12" ht="15" customHeight="1">
      <c r="A10" s="466" t="s">
        <v>503</v>
      </c>
      <c r="B10" s="462"/>
      <c r="C10" s="467">
        <v>785</v>
      </c>
      <c r="D10" s="462">
        <v>51</v>
      </c>
      <c r="E10" s="462">
        <v>5</v>
      </c>
      <c r="F10" s="468"/>
      <c r="G10" s="463"/>
      <c r="H10" s="463"/>
      <c r="I10" s="464"/>
      <c r="J10" s="464"/>
      <c r="K10" s="465"/>
    </row>
    <row r="11" spans="1:12" ht="15" customHeight="1">
      <c r="A11" s="466" t="s">
        <v>504</v>
      </c>
      <c r="B11" s="462"/>
      <c r="C11" s="467">
        <v>942</v>
      </c>
      <c r="D11" s="462"/>
      <c r="E11" s="462">
        <v>14</v>
      </c>
      <c r="F11" s="468"/>
      <c r="G11" s="463"/>
      <c r="H11" s="463"/>
      <c r="I11" s="464"/>
      <c r="J11" s="464"/>
      <c r="K11" s="465"/>
    </row>
    <row r="12" spans="1:12" ht="17.25" customHeight="1">
      <c r="A12" s="466" t="s">
        <v>505</v>
      </c>
      <c r="B12" s="462"/>
      <c r="C12" s="467">
        <v>1099</v>
      </c>
      <c r="D12" s="462"/>
      <c r="E12" s="462">
        <v>9</v>
      </c>
      <c r="F12" s="468"/>
      <c r="G12" s="463"/>
      <c r="H12" s="463"/>
      <c r="I12" s="464"/>
      <c r="J12" s="464"/>
      <c r="K12" s="465"/>
    </row>
    <row r="13" spans="1:12">
      <c r="A13" s="466" t="s">
        <v>573</v>
      </c>
      <c r="B13" s="462"/>
      <c r="C13" s="467">
        <v>1271.7</v>
      </c>
      <c r="D13" s="462"/>
      <c r="E13" s="462">
        <v>8</v>
      </c>
      <c r="F13" s="468"/>
      <c r="G13" s="463"/>
      <c r="H13" s="463"/>
      <c r="I13" s="464"/>
      <c r="J13" s="464"/>
      <c r="K13" s="465"/>
    </row>
    <row r="14" spans="1:12">
      <c r="A14" s="466" t="s">
        <v>629</v>
      </c>
      <c r="B14" s="462"/>
      <c r="C14" s="467">
        <v>1271.7</v>
      </c>
      <c r="D14" s="462"/>
      <c r="E14" s="462">
        <v>1</v>
      </c>
      <c r="F14" s="468"/>
      <c r="G14" s="463"/>
      <c r="H14" s="463"/>
      <c r="I14" s="464"/>
      <c r="J14" s="464"/>
      <c r="K14" s="465"/>
    </row>
    <row r="15" spans="1:12" ht="15" customHeight="1">
      <c r="A15" s="466"/>
      <c r="B15" s="466"/>
      <c r="C15" s="469"/>
      <c r="D15" s="466"/>
      <c r="E15" s="466"/>
      <c r="F15" s="470"/>
      <c r="G15" s="466"/>
      <c r="H15" s="466"/>
      <c r="I15" s="471"/>
      <c r="J15" s="472"/>
      <c r="K15" s="465"/>
    </row>
    <row r="16" spans="1:12">
      <c r="A16" s="462" t="s">
        <v>150</v>
      </c>
      <c r="B16" s="462" t="s">
        <v>506</v>
      </c>
      <c r="C16" s="467"/>
      <c r="D16" s="462">
        <v>146</v>
      </c>
      <c r="E16" s="462">
        <v>100</v>
      </c>
      <c r="F16" s="468">
        <v>46</v>
      </c>
      <c r="G16" s="462"/>
      <c r="H16" s="462"/>
      <c r="I16" s="471"/>
      <c r="J16" s="472"/>
      <c r="K16" s="465"/>
    </row>
    <row r="17" spans="1:11">
      <c r="A17" s="466" t="s">
        <v>507</v>
      </c>
      <c r="B17" s="466"/>
      <c r="C17" s="469">
        <v>639.6</v>
      </c>
      <c r="D17" s="466">
        <v>20</v>
      </c>
      <c r="E17" s="466">
        <v>8</v>
      </c>
      <c r="F17" s="470">
        <v>12</v>
      </c>
      <c r="G17" s="466"/>
      <c r="H17" s="466"/>
      <c r="I17" s="471"/>
      <c r="J17" s="472"/>
      <c r="K17" s="465"/>
    </row>
    <row r="18" spans="1:11" ht="15.75" customHeight="1">
      <c r="A18" s="466" t="s">
        <v>508</v>
      </c>
      <c r="B18" s="466"/>
      <c r="C18" s="469">
        <v>639.6</v>
      </c>
      <c r="D18" s="466">
        <v>15</v>
      </c>
      <c r="E18" s="466">
        <v>13</v>
      </c>
      <c r="F18" s="470">
        <v>2</v>
      </c>
      <c r="G18" s="466"/>
      <c r="H18" s="466"/>
      <c r="I18" s="471"/>
      <c r="J18" s="472"/>
      <c r="K18" s="465"/>
    </row>
    <row r="19" spans="1:11">
      <c r="A19" s="466" t="s">
        <v>509</v>
      </c>
      <c r="B19" s="466"/>
      <c r="C19" s="469">
        <v>639.6</v>
      </c>
      <c r="D19" s="466">
        <v>8</v>
      </c>
      <c r="E19" s="466">
        <v>4</v>
      </c>
      <c r="F19" s="470">
        <v>4</v>
      </c>
      <c r="G19" s="462"/>
      <c r="H19" s="462"/>
      <c r="I19" s="471"/>
      <c r="J19" s="472"/>
      <c r="K19" s="465"/>
    </row>
    <row r="20" spans="1:11">
      <c r="A20" s="466" t="s">
        <v>510</v>
      </c>
      <c r="B20" s="462"/>
      <c r="C20" s="473">
        <v>688.8</v>
      </c>
      <c r="D20" s="466">
        <v>6</v>
      </c>
      <c r="E20" s="466">
        <v>1</v>
      </c>
      <c r="F20" s="470">
        <v>5</v>
      </c>
      <c r="G20" s="466"/>
      <c r="H20" s="466"/>
      <c r="I20" s="471"/>
      <c r="J20" s="472"/>
      <c r="K20" s="465"/>
    </row>
    <row r="21" spans="1:11">
      <c r="A21" s="466" t="s">
        <v>511</v>
      </c>
      <c r="B21" s="466"/>
      <c r="C21" s="473">
        <v>984</v>
      </c>
      <c r="D21" s="466">
        <v>2</v>
      </c>
      <c r="E21" s="466">
        <v>1</v>
      </c>
      <c r="F21" s="470">
        <v>1</v>
      </c>
      <c r="G21" s="466"/>
      <c r="H21" s="466"/>
      <c r="I21" s="471"/>
      <c r="J21" s="472"/>
      <c r="K21" s="465"/>
    </row>
    <row r="22" spans="1:11">
      <c r="A22" s="466" t="s">
        <v>512</v>
      </c>
      <c r="B22" s="466"/>
      <c r="C22" s="474">
        <v>984</v>
      </c>
      <c r="D22" s="466">
        <v>10</v>
      </c>
      <c r="E22" s="466">
        <v>9</v>
      </c>
      <c r="F22" s="470">
        <v>1</v>
      </c>
      <c r="G22" s="466"/>
      <c r="H22" s="466"/>
      <c r="I22" s="471"/>
      <c r="J22" s="472"/>
      <c r="K22" s="465"/>
    </row>
    <row r="23" spans="1:11">
      <c r="A23" s="466" t="s">
        <v>513</v>
      </c>
      <c r="B23" s="466"/>
      <c r="C23" s="474">
        <v>984</v>
      </c>
      <c r="D23" s="466">
        <v>15</v>
      </c>
      <c r="E23" s="466">
        <v>14</v>
      </c>
      <c r="F23" s="470">
        <v>2</v>
      </c>
      <c r="G23" s="466"/>
      <c r="H23" s="466"/>
      <c r="I23" s="471"/>
      <c r="J23" s="472"/>
      <c r="K23" s="465"/>
    </row>
    <row r="24" spans="1:11">
      <c r="A24" s="466" t="s">
        <v>514</v>
      </c>
      <c r="B24" s="466"/>
      <c r="C24" s="474">
        <v>762.6</v>
      </c>
      <c r="D24" s="466">
        <v>6</v>
      </c>
      <c r="E24" s="466">
        <v>5</v>
      </c>
      <c r="F24" s="470">
        <v>1</v>
      </c>
      <c r="G24" s="466"/>
      <c r="H24" s="466"/>
      <c r="I24" s="471"/>
      <c r="J24" s="472"/>
      <c r="K24" s="465"/>
    </row>
    <row r="25" spans="1:11">
      <c r="A25" s="466" t="s">
        <v>515</v>
      </c>
      <c r="B25" s="466"/>
      <c r="C25" s="474">
        <v>762.6</v>
      </c>
      <c r="D25" s="466">
        <v>3</v>
      </c>
      <c r="E25" s="466">
        <v>2</v>
      </c>
      <c r="F25" s="470">
        <v>1</v>
      </c>
      <c r="G25" s="466"/>
      <c r="H25" s="466"/>
      <c r="I25" s="471"/>
      <c r="J25" s="472"/>
      <c r="K25" s="465"/>
    </row>
    <row r="26" spans="1:11">
      <c r="A26" s="466" t="s">
        <v>516</v>
      </c>
      <c r="B26" s="466"/>
      <c r="C26" s="474">
        <v>762.6</v>
      </c>
      <c r="D26" s="466">
        <v>9</v>
      </c>
      <c r="E26" s="466">
        <v>8</v>
      </c>
      <c r="F26" s="470">
        <v>0</v>
      </c>
      <c r="G26" s="466"/>
      <c r="H26" s="466"/>
      <c r="I26" s="471"/>
      <c r="J26" s="472"/>
      <c r="K26" s="465"/>
    </row>
    <row r="27" spans="1:11">
      <c r="A27" s="466" t="s">
        <v>517</v>
      </c>
      <c r="B27" s="466"/>
      <c r="C27" s="474">
        <v>984</v>
      </c>
      <c r="D27" s="466">
        <v>10</v>
      </c>
      <c r="E27" s="466">
        <v>5</v>
      </c>
      <c r="F27" s="470">
        <v>5</v>
      </c>
      <c r="G27" s="466"/>
      <c r="H27" s="466"/>
      <c r="I27" s="471"/>
      <c r="J27" s="472"/>
      <c r="K27" s="465"/>
    </row>
    <row r="28" spans="1:11">
      <c r="A28" s="466" t="s">
        <v>518</v>
      </c>
      <c r="B28" s="466"/>
      <c r="C28" s="474">
        <v>1180.8</v>
      </c>
      <c r="D28" s="466">
        <v>5</v>
      </c>
      <c r="E28" s="466">
        <v>0</v>
      </c>
      <c r="F28" s="470">
        <v>5</v>
      </c>
      <c r="G28" s="466"/>
      <c r="H28" s="466"/>
      <c r="I28" s="471"/>
      <c r="J28" s="472"/>
      <c r="K28" s="465"/>
    </row>
    <row r="29" spans="1:11">
      <c r="A29" s="466" t="s">
        <v>519</v>
      </c>
      <c r="B29" s="466"/>
      <c r="C29" s="474">
        <v>1353</v>
      </c>
      <c r="D29" s="466">
        <v>5</v>
      </c>
      <c r="E29" s="466">
        <v>2</v>
      </c>
      <c r="F29" s="470">
        <v>3</v>
      </c>
      <c r="G29" s="466"/>
      <c r="H29" s="466"/>
      <c r="I29" s="471"/>
      <c r="J29" s="472"/>
      <c r="K29" s="465"/>
    </row>
    <row r="30" spans="1:11">
      <c r="A30" s="466" t="s">
        <v>520</v>
      </c>
      <c r="B30" s="466"/>
      <c r="C30" s="474">
        <v>1186.8</v>
      </c>
      <c r="D30" s="466">
        <v>4</v>
      </c>
      <c r="E30" s="466">
        <v>2</v>
      </c>
      <c r="F30" s="470">
        <v>2</v>
      </c>
      <c r="G30" s="466"/>
      <c r="H30" s="466"/>
      <c r="I30" s="471"/>
      <c r="J30" s="472"/>
      <c r="K30" s="465"/>
    </row>
    <row r="31" spans="1:11">
      <c r="A31" s="466" t="s">
        <v>521</v>
      </c>
      <c r="B31" s="466"/>
      <c r="C31" s="474">
        <v>1180</v>
      </c>
      <c r="D31" s="466">
        <v>2</v>
      </c>
      <c r="E31" s="466">
        <v>1</v>
      </c>
      <c r="F31" s="470">
        <v>1</v>
      </c>
      <c r="G31" s="466"/>
      <c r="H31" s="466"/>
      <c r="I31" s="471"/>
      <c r="J31" s="472"/>
      <c r="K31" s="465"/>
    </row>
    <row r="32" spans="1:11">
      <c r="A32" s="466" t="s">
        <v>522</v>
      </c>
      <c r="B32" s="466"/>
      <c r="C32" s="474">
        <v>1574.4</v>
      </c>
      <c r="D32" s="466">
        <v>2</v>
      </c>
      <c r="E32" s="466">
        <v>2</v>
      </c>
      <c r="F32" s="470">
        <v>0</v>
      </c>
      <c r="G32" s="466"/>
      <c r="H32" s="466"/>
      <c r="I32" s="471"/>
      <c r="J32" s="472"/>
      <c r="K32" s="465"/>
    </row>
    <row r="33" spans="1:11">
      <c r="A33" s="466" t="s">
        <v>523</v>
      </c>
      <c r="B33" s="466"/>
      <c r="C33" s="474">
        <v>1180.8</v>
      </c>
      <c r="D33" s="466">
        <v>2</v>
      </c>
      <c r="E33" s="466">
        <v>1</v>
      </c>
      <c r="F33" s="470">
        <v>1</v>
      </c>
      <c r="G33" s="466"/>
      <c r="H33" s="466"/>
      <c r="I33" s="471"/>
      <c r="J33" s="472"/>
      <c r="K33" s="465"/>
    </row>
    <row r="34" spans="1:11">
      <c r="A34" s="466" t="s">
        <v>524</v>
      </c>
      <c r="B34" s="466"/>
      <c r="C34" s="474">
        <v>1574.4</v>
      </c>
      <c r="D34" s="466">
        <v>3</v>
      </c>
      <c r="E34" s="466">
        <v>3</v>
      </c>
      <c r="F34" s="470">
        <v>0</v>
      </c>
      <c r="G34" s="466"/>
      <c r="H34" s="466"/>
      <c r="I34" s="471"/>
      <c r="J34" s="472"/>
      <c r="K34" s="465"/>
    </row>
    <row r="35" spans="1:11">
      <c r="A35" s="466" t="s">
        <v>525</v>
      </c>
      <c r="B35" s="466"/>
      <c r="C35" s="474">
        <v>1574.4</v>
      </c>
      <c r="D35" s="466">
        <v>1</v>
      </c>
      <c r="E35" s="466">
        <v>1</v>
      </c>
      <c r="F35" s="470">
        <v>0</v>
      </c>
      <c r="G35" s="466"/>
      <c r="H35" s="466"/>
      <c r="I35" s="471"/>
      <c r="J35" s="472"/>
      <c r="K35" s="465"/>
    </row>
    <row r="36" spans="1:11">
      <c r="A36" s="466" t="s">
        <v>526</v>
      </c>
      <c r="B36" s="466"/>
      <c r="C36" s="474">
        <v>1574.4</v>
      </c>
      <c r="D36" s="466">
        <v>1</v>
      </c>
      <c r="E36" s="466">
        <v>1</v>
      </c>
      <c r="F36" s="470">
        <v>0</v>
      </c>
      <c r="G36" s="466"/>
      <c r="H36" s="466"/>
      <c r="I36" s="471"/>
      <c r="J36" s="472"/>
      <c r="K36" s="465"/>
    </row>
    <row r="37" spans="1:11">
      <c r="A37" s="466" t="s">
        <v>636</v>
      </c>
      <c r="B37" s="466"/>
      <c r="C37" s="474">
        <f>1722*2</f>
        <v>3444</v>
      </c>
      <c r="D37" s="466">
        <v>1</v>
      </c>
      <c r="E37" s="466">
        <v>1</v>
      </c>
      <c r="F37" s="470">
        <v>0</v>
      </c>
      <c r="G37" s="466"/>
      <c r="H37" s="466"/>
      <c r="I37" s="471"/>
      <c r="J37" s="472"/>
      <c r="K37" s="465"/>
    </row>
    <row r="38" spans="1:11">
      <c r="A38" s="466" t="s">
        <v>635</v>
      </c>
      <c r="B38" s="466"/>
      <c r="C38" s="474">
        <f>1722*2</f>
        <v>3444</v>
      </c>
      <c r="D38" s="466">
        <v>1</v>
      </c>
      <c r="E38" s="466">
        <v>1</v>
      </c>
      <c r="F38" s="470">
        <v>0</v>
      </c>
      <c r="G38" s="466"/>
      <c r="H38" s="466"/>
      <c r="I38" s="471"/>
      <c r="J38" s="472"/>
      <c r="K38" s="465"/>
    </row>
    <row r="39" spans="1:11">
      <c r="A39" s="466" t="s">
        <v>527</v>
      </c>
      <c r="B39" s="466"/>
      <c r="C39" s="474">
        <v>2583</v>
      </c>
      <c r="D39" s="466">
        <v>1</v>
      </c>
      <c r="E39" s="466">
        <v>1</v>
      </c>
      <c r="F39" s="470">
        <v>0</v>
      </c>
      <c r="G39" s="466"/>
      <c r="H39" s="466"/>
      <c r="I39" s="471"/>
      <c r="J39" s="472"/>
      <c r="K39" s="465"/>
    </row>
    <row r="40" spans="1:11">
      <c r="A40" s="466" t="s">
        <v>528</v>
      </c>
      <c r="B40" s="466"/>
      <c r="C40" s="474">
        <v>3444</v>
      </c>
      <c r="D40" s="466">
        <v>1</v>
      </c>
      <c r="E40" s="466">
        <v>1</v>
      </c>
      <c r="F40" s="470">
        <v>0</v>
      </c>
      <c r="G40" s="466"/>
      <c r="H40" s="466"/>
      <c r="I40" s="471"/>
      <c r="J40" s="472"/>
      <c r="K40" s="465"/>
    </row>
    <row r="41" spans="1:11">
      <c r="A41" s="466" t="s">
        <v>529</v>
      </c>
      <c r="B41" s="466"/>
      <c r="C41" s="474">
        <v>2952</v>
      </c>
      <c r="D41" s="466">
        <v>3</v>
      </c>
      <c r="E41" s="466">
        <v>3</v>
      </c>
      <c r="F41" s="470">
        <v>0</v>
      </c>
      <c r="G41" s="466"/>
      <c r="H41" s="466"/>
      <c r="I41" s="471"/>
      <c r="J41" s="472"/>
      <c r="K41" s="465"/>
    </row>
    <row r="42" spans="1:11">
      <c r="A42" s="466" t="s">
        <v>530</v>
      </c>
      <c r="B42" s="466"/>
      <c r="C42" s="474">
        <v>4920</v>
      </c>
      <c r="D42" s="466">
        <v>1</v>
      </c>
      <c r="E42" s="466">
        <v>1</v>
      </c>
      <c r="F42" s="470">
        <v>0</v>
      </c>
      <c r="G42" s="466"/>
      <c r="H42" s="466"/>
      <c r="I42" s="471"/>
      <c r="J42" s="472"/>
      <c r="K42" s="465"/>
    </row>
    <row r="43" spans="1:11">
      <c r="A43" s="466" t="s">
        <v>531</v>
      </c>
      <c r="B43" s="466"/>
      <c r="C43" s="474">
        <v>2460</v>
      </c>
      <c r="D43" s="466">
        <v>1</v>
      </c>
      <c r="E43" s="466">
        <v>1</v>
      </c>
      <c r="F43" s="470">
        <v>0</v>
      </c>
      <c r="G43" s="466"/>
      <c r="H43" s="466"/>
      <c r="I43" s="471"/>
      <c r="J43" s="472"/>
      <c r="K43" s="465"/>
    </row>
    <row r="44" spans="1:11">
      <c r="A44" s="466" t="s">
        <v>532</v>
      </c>
      <c r="B44" s="466"/>
      <c r="C44" s="474">
        <v>4920</v>
      </c>
      <c r="D44" s="466">
        <v>1</v>
      </c>
      <c r="E44" s="466">
        <v>1</v>
      </c>
      <c r="F44" s="470">
        <v>0</v>
      </c>
      <c r="G44" s="466"/>
      <c r="H44" s="466"/>
      <c r="I44" s="471"/>
      <c r="J44" s="472"/>
      <c r="K44" s="465"/>
    </row>
    <row r="45" spans="1:11">
      <c r="A45" s="466" t="s">
        <v>533</v>
      </c>
      <c r="B45" s="466"/>
      <c r="C45" s="474">
        <f>3198*2</f>
        <v>6396</v>
      </c>
      <c r="D45" s="466">
        <v>2</v>
      </c>
      <c r="E45" s="466">
        <v>1</v>
      </c>
      <c r="F45" s="470">
        <v>1</v>
      </c>
      <c r="G45" s="466"/>
      <c r="H45" s="466"/>
      <c r="I45" s="471"/>
      <c r="J45" s="472"/>
      <c r="K45" s="465"/>
    </row>
    <row r="46" spans="1:11">
      <c r="A46" s="466" t="s">
        <v>534</v>
      </c>
      <c r="B46" s="466"/>
      <c r="C46" s="474">
        <v>3444</v>
      </c>
      <c r="D46" s="466">
        <v>3</v>
      </c>
      <c r="E46" s="466">
        <v>3</v>
      </c>
      <c r="F46" s="470">
        <v>0</v>
      </c>
      <c r="G46" s="466"/>
      <c r="H46" s="466"/>
      <c r="I46" s="471"/>
      <c r="J46" s="472"/>
      <c r="K46" s="465"/>
    </row>
    <row r="47" spans="1:11">
      <c r="A47" s="466" t="s">
        <v>535</v>
      </c>
      <c r="B47" s="466"/>
      <c r="C47" s="474">
        <v>3936</v>
      </c>
      <c r="D47" s="466">
        <v>2</v>
      </c>
      <c r="E47" s="466">
        <v>2</v>
      </c>
      <c r="F47" s="470">
        <v>0</v>
      </c>
      <c r="G47" s="466"/>
      <c r="H47" s="466"/>
      <c r="I47" s="471"/>
      <c r="J47" s="472"/>
      <c r="K47" s="465"/>
    </row>
    <row r="48" spans="1:11">
      <c r="A48" s="466" t="s">
        <v>536</v>
      </c>
      <c r="B48" s="466"/>
      <c r="C48" s="474">
        <v>7573.98</v>
      </c>
      <c r="D48" s="466">
        <v>1</v>
      </c>
      <c r="E48" s="466">
        <v>1</v>
      </c>
      <c r="F48" s="470">
        <v>0</v>
      </c>
      <c r="G48" s="466"/>
      <c r="H48" s="466"/>
      <c r="I48" s="471"/>
      <c r="J48" s="472"/>
      <c r="K48" s="465"/>
    </row>
    <row r="49" spans="1:11">
      <c r="A49" s="466"/>
      <c r="B49" s="466"/>
      <c r="C49" s="475"/>
      <c r="D49" s="466"/>
      <c r="E49" s="466"/>
      <c r="F49" s="470"/>
      <c r="G49" s="466"/>
      <c r="H49" s="466"/>
      <c r="I49" s="471"/>
      <c r="J49" s="472"/>
      <c r="K49" s="465"/>
    </row>
    <row r="50" spans="1:11">
      <c r="A50" s="462" t="s">
        <v>537</v>
      </c>
      <c r="B50" s="462" t="s">
        <v>574</v>
      </c>
      <c r="C50" s="475"/>
      <c r="D50" s="466"/>
      <c r="E50" s="466"/>
      <c r="F50" s="470"/>
      <c r="G50" s="466"/>
      <c r="H50" s="466"/>
      <c r="I50" s="471"/>
      <c r="J50" s="472"/>
      <c r="K50" s="465"/>
    </row>
    <row r="51" spans="1:11">
      <c r="A51" s="466" t="s">
        <v>538</v>
      </c>
      <c r="B51" s="462"/>
      <c r="C51" s="476">
        <v>369</v>
      </c>
      <c r="D51" s="466">
        <v>2</v>
      </c>
      <c r="E51" s="466">
        <v>2</v>
      </c>
      <c r="F51" s="470">
        <v>0</v>
      </c>
      <c r="G51" s="466"/>
      <c r="H51" s="466"/>
      <c r="I51" s="471"/>
      <c r="J51" s="472"/>
      <c r="K51" s="465"/>
    </row>
    <row r="52" spans="1:11">
      <c r="A52" s="466" t="s">
        <v>539</v>
      </c>
      <c r="B52" s="462"/>
      <c r="C52" s="476">
        <v>492</v>
      </c>
      <c r="D52" s="466">
        <v>1</v>
      </c>
      <c r="E52" s="466">
        <v>1</v>
      </c>
      <c r="F52" s="470">
        <v>0</v>
      </c>
      <c r="G52" s="466"/>
      <c r="H52" s="466"/>
      <c r="I52" s="471"/>
      <c r="J52" s="472"/>
      <c r="K52" s="465"/>
    </row>
    <row r="53" spans="1:11">
      <c r="A53" s="466" t="s">
        <v>540</v>
      </c>
      <c r="B53" s="462"/>
      <c r="C53" s="476">
        <v>615</v>
      </c>
      <c r="D53" s="466">
        <v>1</v>
      </c>
      <c r="E53" s="466">
        <v>1</v>
      </c>
      <c r="F53" s="470">
        <v>0</v>
      </c>
      <c r="G53" s="466"/>
      <c r="H53" s="466"/>
      <c r="I53" s="471"/>
      <c r="J53" s="472"/>
      <c r="K53" s="465"/>
    </row>
    <row r="54" spans="1:11">
      <c r="A54" s="466" t="s">
        <v>541</v>
      </c>
      <c r="B54" s="462"/>
      <c r="C54" s="476">
        <v>894</v>
      </c>
      <c r="D54" s="466">
        <v>5</v>
      </c>
      <c r="E54" s="466">
        <v>5</v>
      </c>
      <c r="F54" s="470">
        <v>0</v>
      </c>
      <c r="G54" s="466"/>
      <c r="H54" s="466"/>
      <c r="I54" s="471"/>
      <c r="J54" s="472"/>
      <c r="K54" s="465"/>
    </row>
    <row r="55" spans="1:11">
      <c r="A55" s="466" t="s">
        <v>542</v>
      </c>
      <c r="B55" s="462"/>
      <c r="C55" s="476">
        <v>1574.4</v>
      </c>
      <c r="D55" s="466">
        <v>9</v>
      </c>
      <c r="E55" s="466">
        <v>9</v>
      </c>
      <c r="F55" s="470">
        <v>0</v>
      </c>
      <c r="G55" s="466"/>
      <c r="H55" s="466"/>
      <c r="I55" s="471"/>
      <c r="J55" s="472"/>
      <c r="K55" s="465"/>
    </row>
    <row r="56" spans="1:11">
      <c r="A56" s="466" t="s">
        <v>543</v>
      </c>
      <c r="B56" s="462"/>
      <c r="C56" s="476">
        <v>787.5</v>
      </c>
      <c r="D56" s="466">
        <v>1</v>
      </c>
      <c r="E56" s="466">
        <v>1</v>
      </c>
      <c r="F56" s="470">
        <v>0</v>
      </c>
      <c r="G56" s="466"/>
      <c r="H56" s="466"/>
      <c r="I56" s="471"/>
      <c r="J56" s="472"/>
      <c r="K56" s="465"/>
    </row>
    <row r="57" spans="1:11">
      <c r="A57" s="466" t="s">
        <v>575</v>
      </c>
      <c r="B57" s="462" t="s">
        <v>576</v>
      </c>
      <c r="C57" s="476">
        <v>1574.4</v>
      </c>
      <c r="D57" s="466">
        <v>1</v>
      </c>
      <c r="E57" s="466">
        <v>1</v>
      </c>
      <c r="F57" s="470">
        <v>0</v>
      </c>
      <c r="G57" s="466"/>
      <c r="H57" s="466"/>
      <c r="I57" s="471"/>
      <c r="J57" s="472"/>
      <c r="K57" s="465"/>
    </row>
    <row r="58" spans="1:11">
      <c r="A58" s="466" t="s">
        <v>544</v>
      </c>
      <c r="B58" s="462"/>
      <c r="C58" s="476">
        <v>1574.4</v>
      </c>
      <c r="D58" s="466">
        <v>1</v>
      </c>
      <c r="E58" s="466">
        <v>1</v>
      </c>
      <c r="F58" s="470">
        <v>0</v>
      </c>
      <c r="G58" s="466"/>
      <c r="H58" s="466"/>
      <c r="I58" s="471"/>
      <c r="J58" s="472"/>
      <c r="K58" s="465"/>
    </row>
    <row r="59" spans="1:11">
      <c r="A59" s="466" t="s">
        <v>545</v>
      </c>
      <c r="B59" s="462"/>
      <c r="C59" s="476">
        <v>2214</v>
      </c>
      <c r="D59" s="466">
        <v>1</v>
      </c>
      <c r="E59" s="466">
        <v>1</v>
      </c>
      <c r="F59" s="470">
        <v>0</v>
      </c>
      <c r="G59" s="466"/>
      <c r="H59" s="466"/>
      <c r="I59" s="471"/>
      <c r="J59" s="472"/>
      <c r="K59" s="465"/>
    </row>
    <row r="60" spans="1:11">
      <c r="A60" s="466" t="s">
        <v>546</v>
      </c>
      <c r="B60" s="462"/>
      <c r="C60" s="476">
        <v>0</v>
      </c>
      <c r="D60" s="466">
        <v>1</v>
      </c>
      <c r="E60" s="466">
        <v>0</v>
      </c>
      <c r="F60" s="470">
        <v>1</v>
      </c>
      <c r="G60" s="466"/>
      <c r="H60" s="466"/>
      <c r="I60" s="471"/>
      <c r="J60" s="472"/>
      <c r="K60" s="465"/>
    </row>
    <row r="61" spans="1:11">
      <c r="A61" s="477" t="s">
        <v>547</v>
      </c>
      <c r="B61" s="462"/>
      <c r="C61" s="476">
        <v>3198</v>
      </c>
      <c r="D61" s="466">
        <v>1</v>
      </c>
      <c r="E61" s="466">
        <v>1</v>
      </c>
      <c r="F61" s="470">
        <v>0</v>
      </c>
      <c r="G61" s="466"/>
      <c r="H61" s="466"/>
      <c r="I61" s="471"/>
      <c r="J61" s="472"/>
      <c r="K61" s="465"/>
    </row>
    <row r="62" spans="1:11">
      <c r="A62" s="477" t="s">
        <v>548</v>
      </c>
      <c r="B62" s="462"/>
      <c r="C62" s="476">
        <v>3172.24</v>
      </c>
      <c r="D62" s="466">
        <v>5</v>
      </c>
      <c r="E62" s="466">
        <v>5</v>
      </c>
      <c r="F62" s="470">
        <v>0</v>
      </c>
      <c r="G62" s="466"/>
      <c r="H62" s="466"/>
      <c r="I62" s="471"/>
      <c r="J62" s="472"/>
      <c r="K62" s="465"/>
    </row>
    <row r="63" spans="1:11">
      <c r="A63" s="477"/>
      <c r="B63" s="462"/>
      <c r="C63" s="476"/>
      <c r="D63" s="466"/>
      <c r="E63" s="466"/>
      <c r="F63" s="470"/>
      <c r="G63" s="466"/>
      <c r="H63" s="466"/>
      <c r="I63" s="471"/>
      <c r="J63" s="472"/>
      <c r="K63" s="465"/>
    </row>
    <row r="64" spans="1:11">
      <c r="A64" s="477" t="s">
        <v>577</v>
      </c>
      <c r="B64" s="462" t="s">
        <v>578</v>
      </c>
      <c r="C64" s="476">
        <v>1373.75</v>
      </c>
      <c r="D64" s="466">
        <v>1</v>
      </c>
      <c r="E64" s="466">
        <v>1</v>
      </c>
      <c r="F64" s="470">
        <v>0</v>
      </c>
      <c r="G64" s="466"/>
      <c r="H64" s="466"/>
      <c r="I64" s="471"/>
      <c r="J64" s="472"/>
      <c r="K64" s="465"/>
    </row>
    <row r="65" spans="1:11">
      <c r="A65" s="477" t="s">
        <v>579</v>
      </c>
      <c r="B65" s="462"/>
      <c r="C65" s="476">
        <v>499.1</v>
      </c>
      <c r="D65" s="466">
        <v>2</v>
      </c>
      <c r="E65" s="466">
        <v>2</v>
      </c>
      <c r="F65" s="470">
        <v>0</v>
      </c>
      <c r="G65" s="466"/>
      <c r="H65" s="466"/>
      <c r="I65" s="471"/>
      <c r="J65" s="472"/>
      <c r="K65" s="465"/>
    </row>
    <row r="66" spans="1:11">
      <c r="A66" s="477" t="s">
        <v>580</v>
      </c>
      <c r="B66" s="462" t="s">
        <v>581</v>
      </c>
      <c r="C66" s="476">
        <v>499.1</v>
      </c>
      <c r="D66" s="466">
        <v>2</v>
      </c>
      <c r="E66" s="466">
        <v>1</v>
      </c>
      <c r="F66" s="470">
        <v>1</v>
      </c>
      <c r="G66" s="466"/>
      <c r="H66" s="466"/>
      <c r="I66" s="471"/>
      <c r="J66" s="472"/>
      <c r="K66" s="465"/>
    </row>
    <row r="67" spans="1:11">
      <c r="A67" s="477"/>
      <c r="B67" s="462"/>
      <c r="C67" s="476"/>
      <c r="D67" s="466"/>
      <c r="E67" s="466"/>
      <c r="F67" s="470"/>
      <c r="G67" s="466"/>
      <c r="H67" s="466"/>
      <c r="I67" s="471"/>
      <c r="J67" s="472"/>
      <c r="K67" s="465"/>
    </row>
    <row r="68" spans="1:11">
      <c r="A68" s="477" t="s">
        <v>549</v>
      </c>
      <c r="B68" s="462"/>
      <c r="C68" s="476"/>
      <c r="D68" s="466">
        <v>1</v>
      </c>
      <c r="E68" s="466">
        <v>1</v>
      </c>
      <c r="F68" s="470">
        <v>0</v>
      </c>
      <c r="G68" s="466"/>
      <c r="H68" s="466"/>
      <c r="I68" s="471"/>
      <c r="J68" s="472"/>
      <c r="K68" s="465"/>
    </row>
    <row r="69" spans="1:11">
      <c r="A69" s="477" t="s">
        <v>550</v>
      </c>
      <c r="B69" s="462"/>
      <c r="C69" s="478">
        <v>8050.88</v>
      </c>
      <c r="D69" s="466">
        <v>1</v>
      </c>
      <c r="E69" s="466">
        <v>1</v>
      </c>
      <c r="F69" s="470">
        <v>0</v>
      </c>
      <c r="G69" s="466"/>
      <c r="H69" s="466"/>
      <c r="I69" s="471"/>
      <c r="J69" s="472"/>
      <c r="K69" s="465"/>
    </row>
    <row r="70" spans="1:11">
      <c r="A70" s="466"/>
      <c r="B70" s="462"/>
      <c r="C70" s="475"/>
      <c r="D70" s="466"/>
      <c r="E70" s="466"/>
      <c r="F70" s="470"/>
      <c r="G70" s="466"/>
      <c r="H70" s="466"/>
      <c r="I70" s="471"/>
      <c r="J70" s="472"/>
      <c r="K70" s="465"/>
    </row>
    <row r="71" spans="1:11">
      <c r="A71" s="462" t="s">
        <v>327</v>
      </c>
      <c r="B71" s="466"/>
      <c r="C71" s="475"/>
      <c r="D71" s="466"/>
      <c r="E71" s="466"/>
      <c r="F71" s="470"/>
      <c r="G71" s="466"/>
      <c r="H71" s="466"/>
      <c r="I71" s="471"/>
      <c r="J71" s="472"/>
      <c r="K71" s="465"/>
    </row>
    <row r="72" spans="1:11">
      <c r="A72" s="479" t="s">
        <v>200</v>
      </c>
      <c r="B72" s="480"/>
      <c r="C72" s="481">
        <f>SUM(C9:C65)</f>
        <v>94434.569999999992</v>
      </c>
      <c r="D72" s="481"/>
      <c r="E72" s="481"/>
      <c r="F72" s="481"/>
      <c r="G72" s="481"/>
      <c r="H72" s="481"/>
      <c r="I72" s="481"/>
      <c r="J72" s="482"/>
      <c r="K72" s="465"/>
    </row>
    <row r="73" spans="1:11">
      <c r="A73" s="483" t="s">
        <v>438</v>
      </c>
      <c r="B73" s="484"/>
      <c r="C73" s="484"/>
      <c r="D73" s="484"/>
      <c r="E73" s="484"/>
      <c r="F73" s="484"/>
      <c r="G73" s="484"/>
      <c r="H73" s="484"/>
      <c r="I73" s="484"/>
      <c r="J73" s="484"/>
      <c r="K73" s="484"/>
    </row>
    <row r="74" spans="1:11">
      <c r="A74"/>
      <c r="B74"/>
      <c r="C74"/>
      <c r="D74"/>
      <c r="E74"/>
      <c r="F74"/>
      <c r="G74"/>
      <c r="H74"/>
      <c r="I74"/>
      <c r="J74"/>
      <c r="K74"/>
    </row>
    <row r="75" spans="1:11">
      <c r="A75" s="483" t="s">
        <v>637</v>
      </c>
      <c r="B75" s="484"/>
      <c r="C75" s="484"/>
      <c r="D75" s="484"/>
      <c r="E75" s="484"/>
      <c r="F75" s="484"/>
      <c r="G75" s="484"/>
      <c r="H75" s="484"/>
      <c r="I75" s="484"/>
      <c r="J75" s="484"/>
      <c r="K75" s="484"/>
    </row>
    <row r="76" spans="1:11">
      <c r="A76"/>
      <c r="B76"/>
      <c r="C76"/>
      <c r="D76"/>
      <c r="E76"/>
      <c r="F76"/>
      <c r="G76"/>
      <c r="H76"/>
      <c r="I76"/>
      <c r="J76"/>
      <c r="K76"/>
    </row>
    <row r="77" spans="1:11">
      <c r="A77" s="483" t="s">
        <v>582</v>
      </c>
      <c r="B77" s="484"/>
      <c r="C77" s="484"/>
      <c r="D77" s="484"/>
      <c r="E77" s="484"/>
      <c r="F77" s="484"/>
      <c r="G77" s="484"/>
      <c r="H77" s="484"/>
      <c r="I77" s="484"/>
      <c r="J77" s="484"/>
      <c r="K77" s="484"/>
    </row>
    <row r="78" spans="1:11">
      <c r="A78" s="451" t="s">
        <v>583</v>
      </c>
      <c r="B78"/>
      <c r="C78"/>
      <c r="D78"/>
      <c r="E78"/>
      <c r="F78"/>
      <c r="G78"/>
      <c r="H78"/>
      <c r="I78"/>
      <c r="J78"/>
      <c r="K78"/>
    </row>
    <row r="79" spans="1:11">
      <c r="A79"/>
      <c r="B79"/>
      <c r="C79"/>
      <c r="D79"/>
      <c r="E79"/>
      <c r="F79"/>
      <c r="G79"/>
      <c r="H79"/>
      <c r="I79"/>
      <c r="J79"/>
      <c r="K79"/>
    </row>
    <row r="80" spans="1:11">
      <c r="A80" s="483" t="s">
        <v>632</v>
      </c>
      <c r="B80" s="485"/>
      <c r="C80" s="484"/>
      <c r="D80" s="484"/>
      <c r="E80" s="484"/>
      <c r="F80" s="484"/>
      <c r="G80" s="484"/>
      <c r="H80" s="484"/>
      <c r="I80" s="484"/>
      <c r="J80" s="484"/>
      <c r="K80" s="484"/>
    </row>
    <row r="81" spans="1:11">
      <c r="A81" s="484"/>
      <c r="B81" s="485"/>
      <c r="C81" s="484"/>
      <c r="D81" s="484"/>
      <c r="E81" s="484"/>
      <c r="F81" s="484"/>
      <c r="G81" s="484"/>
      <c r="H81" s="484"/>
      <c r="I81" s="484"/>
      <c r="J81" s="484"/>
      <c r="K81" s="484"/>
    </row>
    <row r="82" spans="1:11">
      <c r="A82"/>
      <c r="B82"/>
      <c r="C82"/>
      <c r="D82"/>
      <c r="E82"/>
      <c r="F82"/>
      <c r="G82"/>
      <c r="H82"/>
      <c r="I82"/>
      <c r="J82"/>
      <c r="K82"/>
    </row>
    <row r="83" spans="1:11">
      <c r="A83"/>
      <c r="B83"/>
      <c r="C83"/>
      <c r="D83"/>
      <c r="E83"/>
      <c r="F83"/>
      <c r="G83"/>
      <c r="H83"/>
      <c r="I83"/>
      <c r="J83"/>
      <c r="K83"/>
    </row>
    <row r="84" spans="1:11">
      <c r="A84" s="483" t="s">
        <v>630</v>
      </c>
      <c r="B84" s="484"/>
      <c r="C84" s="484"/>
      <c r="D84" s="484"/>
      <c r="E84" s="484"/>
      <c r="F84" s="484"/>
      <c r="G84" s="484"/>
      <c r="H84" s="484"/>
      <c r="I84" s="484"/>
      <c r="J84" s="484"/>
      <c r="K84" s="484"/>
    </row>
    <row r="85" spans="1:11">
      <c r="A85" s="483" t="s">
        <v>439</v>
      </c>
      <c r="B85" s="484"/>
      <c r="C85" s="484"/>
      <c r="D85" s="484"/>
      <c r="E85" s="484"/>
      <c r="F85" s="484"/>
      <c r="G85" s="484"/>
      <c r="H85" s="484"/>
      <c r="I85" s="484"/>
      <c r="J85" s="484"/>
      <c r="K85" s="484"/>
    </row>
  </sheetData>
  <mergeCells count="12">
    <mergeCell ref="A4:I4"/>
    <mergeCell ref="A1:I1"/>
    <mergeCell ref="A2:I2"/>
    <mergeCell ref="A3:I3"/>
    <mergeCell ref="G7:K7"/>
    <mergeCell ref="E7:E8"/>
    <mergeCell ref="F7:F8"/>
    <mergeCell ref="A5:I5"/>
    <mergeCell ref="A7:A8"/>
    <mergeCell ref="B7:B8"/>
    <mergeCell ref="C7:C8"/>
    <mergeCell ref="D7:D8"/>
  </mergeCells>
  <phoneticPr fontId="6" type="noConversion"/>
  <pageMargins left="0.78740157480314965" right="0.59055118110236227" top="0.98425196850393704" bottom="0.98425196850393704" header="0.51181102362204722" footer="0.51181102362204722"/>
  <pageSetup paperSize="9" scale="75" orientation="landscape" verticalDpi="0" r:id="rId1"/>
  <headerFooter alignWithMargins="0">
    <oddHeader>&amp;LESTADO DO RIO GRANDE DO SUL
PREFEITURA MUNICIPAL DE BOA VSITA DO CADEADO</oddHeader>
  </headerFooter>
</worksheet>
</file>

<file path=xl/worksheets/sheet2.xml><?xml version="1.0" encoding="utf-8"?>
<worksheet xmlns="http://schemas.openxmlformats.org/spreadsheetml/2006/main" xmlns:r="http://schemas.openxmlformats.org/officeDocument/2006/relationships">
  <dimension ref="A1:H43"/>
  <sheetViews>
    <sheetView topLeftCell="A12" workbookViewId="0">
      <selection activeCell="B46" sqref="B46"/>
    </sheetView>
  </sheetViews>
  <sheetFormatPr defaultRowHeight="12.75"/>
  <cols>
    <col min="1" max="2" width="16" customWidth="1"/>
    <col min="3" max="3" width="16.7109375" customWidth="1"/>
    <col min="4" max="5" width="17" customWidth="1"/>
    <col min="6" max="6" width="16.7109375" customWidth="1"/>
    <col min="7" max="7" width="14.28515625" customWidth="1"/>
    <col min="8" max="8" width="16.7109375" customWidth="1"/>
  </cols>
  <sheetData>
    <row r="1" spans="1:8">
      <c r="A1" s="516" t="s">
        <v>81</v>
      </c>
      <c r="B1" s="516"/>
      <c r="C1" s="516"/>
      <c r="D1" s="516"/>
      <c r="E1" s="516"/>
      <c r="F1" s="516"/>
      <c r="G1" s="516"/>
      <c r="H1" s="516"/>
    </row>
    <row r="2" spans="1:8">
      <c r="A2" s="516" t="s">
        <v>189</v>
      </c>
      <c r="B2" s="516"/>
      <c r="C2" s="516"/>
      <c r="D2" s="516"/>
      <c r="E2" s="516"/>
      <c r="F2" s="516"/>
      <c r="G2" s="516"/>
      <c r="H2" s="516"/>
    </row>
    <row r="3" spans="1:8">
      <c r="A3" s="516" t="s">
        <v>193</v>
      </c>
      <c r="B3" s="516"/>
      <c r="C3" s="516"/>
      <c r="D3" s="516"/>
      <c r="E3" s="516"/>
      <c r="F3" s="516"/>
      <c r="G3" s="516"/>
      <c r="H3" s="516"/>
    </row>
    <row r="4" spans="1:8">
      <c r="A4" s="517">
        <v>2010</v>
      </c>
      <c r="B4" s="516"/>
      <c r="C4" s="516"/>
      <c r="D4" s="516"/>
      <c r="E4" s="516"/>
      <c r="F4" s="516"/>
      <c r="G4" s="516"/>
      <c r="H4" s="516"/>
    </row>
    <row r="5" spans="1:8">
      <c r="A5" s="19" t="s">
        <v>167</v>
      </c>
    </row>
    <row r="6" spans="1:8" ht="13.5" thickBot="1"/>
    <row r="7" spans="1:8" ht="14.25" thickTop="1" thickBot="1">
      <c r="A7" s="19" t="s">
        <v>168</v>
      </c>
      <c r="B7" s="520"/>
      <c r="C7" s="520"/>
      <c r="D7" s="520"/>
      <c r="E7" s="521"/>
      <c r="F7" s="20">
        <v>2010</v>
      </c>
      <c r="G7" s="21">
        <v>2011</v>
      </c>
      <c r="H7" s="22">
        <v>2012</v>
      </c>
    </row>
    <row r="8" spans="1:8">
      <c r="A8" s="518" t="s">
        <v>169</v>
      </c>
      <c r="B8" s="518"/>
      <c r="C8" s="518"/>
      <c r="D8" s="518"/>
      <c r="E8" s="519"/>
      <c r="F8" s="23">
        <v>1.0449999999999999</v>
      </c>
      <c r="G8" s="24">
        <v>1.0449999999999999</v>
      </c>
      <c r="H8" s="25">
        <v>1.0449999999999999</v>
      </c>
    </row>
    <row r="9" spans="1:8">
      <c r="A9" s="518" t="s">
        <v>170</v>
      </c>
      <c r="B9" s="518"/>
      <c r="C9" s="518"/>
      <c r="D9" s="518"/>
      <c r="E9" s="519"/>
      <c r="F9" s="26">
        <v>1</v>
      </c>
      <c r="G9" s="27">
        <v>2000</v>
      </c>
      <c r="H9" s="28">
        <v>1</v>
      </c>
    </row>
    <row r="10" spans="1:8" ht="13.5" thickBot="1">
      <c r="A10" s="518" t="s">
        <v>171</v>
      </c>
      <c r="B10" s="518"/>
      <c r="C10" s="518"/>
      <c r="D10" s="518"/>
      <c r="E10" s="519"/>
      <c r="F10" s="29">
        <v>1</v>
      </c>
      <c r="G10" s="30">
        <v>1</v>
      </c>
      <c r="H10" s="31">
        <v>1</v>
      </c>
    </row>
    <row r="11" spans="1:8" ht="14.25" thickTop="1" thickBot="1">
      <c r="A11" s="518" t="s">
        <v>172</v>
      </c>
      <c r="B11" s="518"/>
      <c r="C11" s="518"/>
      <c r="D11" s="518"/>
      <c r="E11" s="519"/>
      <c r="F11" s="32">
        <f>F8*F9*F10</f>
        <v>1.0449999999999999</v>
      </c>
      <c r="G11" s="32">
        <f>G8*G9*G10</f>
        <v>2090</v>
      </c>
      <c r="H11" s="32">
        <f>H8*H9*H10</f>
        <v>1.0449999999999999</v>
      </c>
    </row>
    <row r="12" spans="1:8" ht="14.25" thickTop="1" thickBot="1">
      <c r="A12" s="33"/>
      <c r="B12" s="33"/>
      <c r="C12" s="33"/>
      <c r="D12" s="33"/>
      <c r="E12" s="33"/>
      <c r="F12" s="33"/>
    </row>
    <row r="13" spans="1:8" ht="14.25" thickTop="1" thickBot="1">
      <c r="A13" s="34" t="s">
        <v>173</v>
      </c>
      <c r="B13" s="35">
        <v>2006</v>
      </c>
      <c r="C13" s="35">
        <v>2007</v>
      </c>
      <c r="D13" s="35">
        <v>2008</v>
      </c>
      <c r="E13" s="35">
        <v>2009</v>
      </c>
      <c r="F13" s="35">
        <v>2010</v>
      </c>
      <c r="G13" s="35">
        <v>2011</v>
      </c>
      <c r="H13" s="36">
        <v>2012</v>
      </c>
    </row>
    <row r="14" spans="1:8" ht="13.5" thickTop="1">
      <c r="A14" s="37" t="s">
        <v>174</v>
      </c>
      <c r="B14" s="38">
        <v>100</v>
      </c>
      <c r="C14" s="39">
        <v>100</v>
      </c>
      <c r="D14" s="39">
        <v>100</v>
      </c>
      <c r="E14" s="39">
        <f>((($D14/$C14)+($C14/$B14))/2)*$D14</f>
        <v>100</v>
      </c>
      <c r="F14" s="39">
        <f>E14*F$11</f>
        <v>104.5</v>
      </c>
      <c r="G14" s="40">
        <f>F14*G$11</f>
        <v>218405</v>
      </c>
      <c r="H14" s="41">
        <f>G14*H$11</f>
        <v>228233.22499999998</v>
      </c>
    </row>
    <row r="15" spans="1:8">
      <c r="A15" s="42" t="s">
        <v>175</v>
      </c>
      <c r="B15" s="43">
        <v>100</v>
      </c>
      <c r="C15" s="44">
        <v>100</v>
      </c>
      <c r="D15" s="44">
        <v>100</v>
      </c>
      <c r="E15" s="44">
        <f t="shared" ref="E15:E25" si="0">(((D15/C15)+(C15/B15))/2)*D15</f>
        <v>100</v>
      </c>
      <c r="F15" s="44">
        <f>E15*F$11</f>
        <v>104.5</v>
      </c>
      <c r="G15" s="45">
        <f t="shared" ref="G15:H25" si="1">F15*G$11</f>
        <v>218405</v>
      </c>
      <c r="H15" s="46">
        <f t="shared" si="1"/>
        <v>228233.22499999998</v>
      </c>
    </row>
    <row r="16" spans="1:8">
      <c r="A16" s="42" t="s">
        <v>176</v>
      </c>
      <c r="B16" s="43">
        <v>100</v>
      </c>
      <c r="C16" s="44">
        <v>100</v>
      </c>
      <c r="D16" s="44">
        <v>100</v>
      </c>
      <c r="E16" s="44">
        <f t="shared" si="0"/>
        <v>100</v>
      </c>
      <c r="F16" s="44">
        <f t="shared" ref="F16:F25" si="2">E16*F$11</f>
        <v>104.5</v>
      </c>
      <c r="G16" s="45">
        <f t="shared" si="1"/>
        <v>218405</v>
      </c>
      <c r="H16" s="46">
        <f t="shared" si="1"/>
        <v>228233.22499999998</v>
      </c>
    </row>
    <row r="17" spans="1:8">
      <c r="A17" s="42" t="s">
        <v>177</v>
      </c>
      <c r="B17" s="43">
        <v>15000</v>
      </c>
      <c r="C17" s="44">
        <v>1500</v>
      </c>
      <c r="D17" s="44">
        <v>40000</v>
      </c>
      <c r="E17" s="44">
        <f t="shared" si="0"/>
        <v>535333.33333333337</v>
      </c>
      <c r="F17" s="44">
        <f t="shared" si="2"/>
        <v>559423.33333333337</v>
      </c>
      <c r="G17" s="45">
        <f t="shared" si="1"/>
        <v>1169194766.6666667</v>
      </c>
      <c r="H17" s="46">
        <f t="shared" si="1"/>
        <v>1221808531.1666667</v>
      </c>
    </row>
    <row r="18" spans="1:8">
      <c r="A18" s="42" t="s">
        <v>178</v>
      </c>
      <c r="B18" s="43">
        <v>100</v>
      </c>
      <c r="C18" s="44">
        <v>100</v>
      </c>
      <c r="D18" s="44">
        <v>100</v>
      </c>
      <c r="E18" s="44">
        <f t="shared" si="0"/>
        <v>100</v>
      </c>
      <c r="F18" s="44">
        <f t="shared" si="2"/>
        <v>104.5</v>
      </c>
      <c r="G18" s="45">
        <f t="shared" si="1"/>
        <v>218405</v>
      </c>
      <c r="H18" s="46">
        <f t="shared" si="1"/>
        <v>228233.22499999998</v>
      </c>
    </row>
    <row r="19" spans="1:8">
      <c r="A19" s="42" t="s">
        <v>179</v>
      </c>
      <c r="B19" s="43">
        <v>100</v>
      </c>
      <c r="C19" s="44">
        <v>100</v>
      </c>
      <c r="D19" s="44">
        <v>100</v>
      </c>
      <c r="E19" s="44">
        <f t="shared" si="0"/>
        <v>100</v>
      </c>
      <c r="F19" s="44">
        <f t="shared" si="2"/>
        <v>104.5</v>
      </c>
      <c r="G19" s="45">
        <f t="shared" si="1"/>
        <v>218405</v>
      </c>
      <c r="H19" s="46">
        <f t="shared" si="1"/>
        <v>228233.22499999998</v>
      </c>
    </row>
    <row r="20" spans="1:8">
      <c r="A20" s="42" t="s">
        <v>180</v>
      </c>
      <c r="B20" s="43">
        <v>100</v>
      </c>
      <c r="C20" s="44">
        <v>100</v>
      </c>
      <c r="D20" s="44">
        <v>100</v>
      </c>
      <c r="E20" s="44">
        <f t="shared" si="0"/>
        <v>100</v>
      </c>
      <c r="F20" s="44">
        <f t="shared" si="2"/>
        <v>104.5</v>
      </c>
      <c r="G20" s="45">
        <f t="shared" si="1"/>
        <v>218405</v>
      </c>
      <c r="H20" s="46">
        <f t="shared" si="1"/>
        <v>228233.22499999998</v>
      </c>
    </row>
    <row r="21" spans="1:8">
      <c r="A21" s="42" t="s">
        <v>181</v>
      </c>
      <c r="B21" s="43">
        <v>100</v>
      </c>
      <c r="C21" s="44">
        <v>100</v>
      </c>
      <c r="D21" s="44">
        <v>100</v>
      </c>
      <c r="E21" s="44">
        <f t="shared" si="0"/>
        <v>100</v>
      </c>
      <c r="F21" s="44">
        <f t="shared" si="2"/>
        <v>104.5</v>
      </c>
      <c r="G21" s="45">
        <f t="shared" si="1"/>
        <v>218405</v>
      </c>
      <c r="H21" s="46">
        <f t="shared" si="1"/>
        <v>228233.22499999998</v>
      </c>
    </row>
    <row r="22" spans="1:8">
      <c r="A22" s="42" t="s">
        <v>182</v>
      </c>
      <c r="B22" s="43">
        <v>100</v>
      </c>
      <c r="C22" s="44">
        <v>100</v>
      </c>
      <c r="D22" s="44">
        <v>100</v>
      </c>
      <c r="E22" s="44">
        <f t="shared" si="0"/>
        <v>100</v>
      </c>
      <c r="F22" s="44">
        <f t="shared" si="2"/>
        <v>104.5</v>
      </c>
      <c r="G22" s="45">
        <f t="shared" si="1"/>
        <v>218405</v>
      </c>
      <c r="H22" s="46">
        <f t="shared" si="1"/>
        <v>228233.22499999998</v>
      </c>
    </row>
    <row r="23" spans="1:8">
      <c r="A23" s="42" t="s">
        <v>183</v>
      </c>
      <c r="B23" s="43">
        <v>100</v>
      </c>
      <c r="C23" s="44">
        <v>100</v>
      </c>
      <c r="D23" s="44">
        <v>100</v>
      </c>
      <c r="E23" s="44">
        <f t="shared" si="0"/>
        <v>100</v>
      </c>
      <c r="F23" s="44">
        <f t="shared" si="2"/>
        <v>104.5</v>
      </c>
      <c r="G23" s="45">
        <f t="shared" si="1"/>
        <v>218405</v>
      </c>
      <c r="H23" s="46">
        <f t="shared" si="1"/>
        <v>228233.22499999998</v>
      </c>
    </row>
    <row r="24" spans="1:8">
      <c r="A24" s="42" t="s">
        <v>184</v>
      </c>
      <c r="B24" s="43">
        <v>100</v>
      </c>
      <c r="C24" s="44">
        <v>100</v>
      </c>
      <c r="D24" s="44">
        <v>100</v>
      </c>
      <c r="E24" s="44">
        <f t="shared" si="0"/>
        <v>100</v>
      </c>
      <c r="F24" s="44">
        <f t="shared" si="2"/>
        <v>104.5</v>
      </c>
      <c r="G24" s="45">
        <f t="shared" si="1"/>
        <v>218405</v>
      </c>
      <c r="H24" s="46">
        <f t="shared" si="1"/>
        <v>228233.22499999998</v>
      </c>
    </row>
    <row r="25" spans="1:8" ht="13.5" thickBot="1">
      <c r="A25" s="47" t="s">
        <v>185</v>
      </c>
      <c r="B25" s="48">
        <v>100</v>
      </c>
      <c r="C25" s="49">
        <v>100</v>
      </c>
      <c r="D25" s="49">
        <v>100</v>
      </c>
      <c r="E25" s="49">
        <f t="shared" si="0"/>
        <v>100</v>
      </c>
      <c r="F25" s="49">
        <f t="shared" si="2"/>
        <v>104.5</v>
      </c>
      <c r="G25" s="49">
        <f t="shared" si="1"/>
        <v>218405</v>
      </c>
      <c r="H25" s="50">
        <f t="shared" si="1"/>
        <v>228233.22499999998</v>
      </c>
    </row>
    <row r="26" spans="1:8" ht="14.25" thickTop="1" thickBot="1">
      <c r="A26" s="34" t="s">
        <v>20</v>
      </c>
      <c r="B26" s="51">
        <f t="shared" ref="B26:H26" si="3">SUM(B14:B25)</f>
        <v>16100</v>
      </c>
      <c r="C26" s="51">
        <f t="shared" si="3"/>
        <v>2600</v>
      </c>
      <c r="D26" s="51">
        <f t="shared" si="3"/>
        <v>41100</v>
      </c>
      <c r="E26" s="51">
        <f t="shared" si="3"/>
        <v>536433.33333333337</v>
      </c>
      <c r="F26" s="51">
        <f t="shared" si="3"/>
        <v>560572.83333333337</v>
      </c>
      <c r="G26" s="51">
        <f t="shared" si="3"/>
        <v>1171597221.6666667</v>
      </c>
      <c r="H26" s="52">
        <f t="shared" si="3"/>
        <v>1224319096.6416659</v>
      </c>
    </row>
    <row r="27" spans="1:8" ht="8.25" customHeight="1" thickTop="1"/>
    <row r="28" spans="1:8">
      <c r="A28" s="53" t="s">
        <v>186</v>
      </c>
    </row>
    <row r="29" spans="1:8" s="4" customFormat="1">
      <c r="A29" s="10" t="s">
        <v>228</v>
      </c>
    </row>
    <row r="30" spans="1:8" s="4" customFormat="1">
      <c r="A30" s="4" t="s">
        <v>229</v>
      </c>
    </row>
    <row r="31" spans="1:8" s="4" customFormat="1">
      <c r="A31" s="10" t="s">
        <v>190</v>
      </c>
    </row>
    <row r="32" spans="1:8" s="4" customFormat="1">
      <c r="A32" s="4" t="s">
        <v>187</v>
      </c>
    </row>
    <row r="33" spans="1:2" s="4" customFormat="1">
      <c r="A33" s="10" t="s">
        <v>230</v>
      </c>
    </row>
    <row r="34" spans="1:2" s="4" customFormat="1">
      <c r="A34" s="4" t="s">
        <v>188</v>
      </c>
    </row>
    <row r="35" spans="1:2" s="4" customFormat="1">
      <c r="A35" s="10" t="s">
        <v>191</v>
      </c>
    </row>
    <row r="36" spans="1:2">
      <c r="A36" s="10" t="s">
        <v>199</v>
      </c>
    </row>
    <row r="43" spans="1:2">
      <c r="B43" s="4" t="s">
        <v>382</v>
      </c>
    </row>
  </sheetData>
  <mergeCells count="9">
    <mergeCell ref="A1:H1"/>
    <mergeCell ref="A2:H2"/>
    <mergeCell ref="A3:H3"/>
    <mergeCell ref="A4:H4"/>
    <mergeCell ref="A11:E11"/>
    <mergeCell ref="B7:E7"/>
    <mergeCell ref="A8:E8"/>
    <mergeCell ref="A9:E9"/>
    <mergeCell ref="A10:E10"/>
  </mergeCells>
  <phoneticPr fontId="6" type="noConversion"/>
  <pageMargins left="0.78740157499999996" right="0.78740157499999996" top="0.984251969" bottom="0.984251969" header="0.49212598499999999" footer="0.49212598499999999"/>
  <pageSetup paperSize="9" orientation="landscape" verticalDpi="0" r:id="rId1"/>
  <headerFooter alignWithMargins="0"/>
</worksheet>
</file>

<file path=xl/worksheets/sheet3.xml><?xml version="1.0" encoding="utf-8"?>
<worksheet xmlns="http://schemas.openxmlformats.org/spreadsheetml/2006/main" xmlns:r="http://schemas.openxmlformats.org/officeDocument/2006/relationships">
  <dimension ref="A2:E40"/>
  <sheetViews>
    <sheetView view="pageLayout" topLeftCell="A2" zoomScaleNormal="100" workbookViewId="0">
      <selection activeCell="A35" sqref="A35"/>
    </sheetView>
  </sheetViews>
  <sheetFormatPr defaultRowHeight="12"/>
  <cols>
    <col min="1" max="1" width="59" style="181" customWidth="1"/>
    <col min="2" max="2" width="25.5703125" style="181" customWidth="1"/>
    <col min="3" max="16384" width="9.140625" style="181"/>
  </cols>
  <sheetData>
    <row r="2" spans="1:2">
      <c r="A2" s="522" t="s">
        <v>81</v>
      </c>
      <c r="B2" s="522"/>
    </row>
    <row r="3" spans="1:2">
      <c r="A3" s="522" t="s">
        <v>19</v>
      </c>
      <c r="B3" s="522"/>
    </row>
    <row r="4" spans="1:2">
      <c r="A4" s="522" t="s">
        <v>77</v>
      </c>
      <c r="B4" s="522"/>
    </row>
    <row r="5" spans="1:2">
      <c r="A5" s="523">
        <v>2013</v>
      </c>
      <c r="B5" s="522"/>
    </row>
    <row r="6" spans="1:2">
      <c r="A6" s="196"/>
    </row>
    <row r="7" spans="1:2">
      <c r="A7" s="196"/>
      <c r="B7" s="197" t="s">
        <v>157</v>
      </c>
    </row>
    <row r="8" spans="1:2">
      <c r="A8" s="198" t="s">
        <v>13</v>
      </c>
      <c r="B8" s="199">
        <v>11918000</v>
      </c>
    </row>
    <row r="9" spans="1:2">
      <c r="A9" s="200" t="s">
        <v>17</v>
      </c>
      <c r="B9" s="199">
        <f>SUM(B10:B19)</f>
        <v>104000</v>
      </c>
    </row>
    <row r="10" spans="1:2">
      <c r="A10" s="201" t="s">
        <v>231</v>
      </c>
      <c r="B10" s="199">
        <v>104000</v>
      </c>
    </row>
    <row r="11" spans="1:2">
      <c r="A11" s="201" t="s">
        <v>232</v>
      </c>
      <c r="B11" s="199"/>
    </row>
    <row r="12" spans="1:2">
      <c r="A12" s="201" t="s">
        <v>233</v>
      </c>
      <c r="B12" s="199"/>
    </row>
    <row r="13" spans="1:2">
      <c r="A13" s="201" t="s">
        <v>14</v>
      </c>
      <c r="B13" s="199"/>
    </row>
    <row r="14" spans="1:2">
      <c r="A14" s="201" t="s">
        <v>159</v>
      </c>
      <c r="B14" s="199"/>
    </row>
    <row r="15" spans="1:2">
      <c r="A15" s="201" t="s">
        <v>160</v>
      </c>
      <c r="B15" s="199"/>
    </row>
    <row r="16" spans="1:2">
      <c r="A16" s="201" t="s">
        <v>15</v>
      </c>
      <c r="B16" s="199"/>
    </row>
    <row r="17" spans="1:5" s="203" customFormat="1">
      <c r="A17" s="201" t="s">
        <v>16</v>
      </c>
      <c r="B17" s="202"/>
    </row>
    <row r="18" spans="1:5">
      <c r="A18" s="201" t="s">
        <v>18</v>
      </c>
      <c r="B18" s="199"/>
    </row>
    <row r="19" spans="1:5">
      <c r="A19" s="201" t="s">
        <v>238</v>
      </c>
      <c r="B19" s="199"/>
    </row>
    <row r="20" spans="1:5" ht="14.25" customHeight="1">
      <c r="A20" s="204" t="s">
        <v>234</v>
      </c>
      <c r="B20" s="199">
        <f>B8-B9</f>
        <v>11814000</v>
      </c>
      <c r="E20" s="205"/>
    </row>
    <row r="21" spans="1:5" ht="15.75" customHeight="1">
      <c r="A21" s="204" t="s">
        <v>235</v>
      </c>
      <c r="B21" s="199">
        <v>2262000</v>
      </c>
      <c r="E21" s="205"/>
    </row>
    <row r="22" spans="1:5" ht="15" customHeight="1">
      <c r="A22" s="198" t="s">
        <v>236</v>
      </c>
      <c r="B22" s="199">
        <f>B8-B9+B21</f>
        <v>14076000</v>
      </c>
      <c r="E22" s="205"/>
    </row>
    <row r="23" spans="1:5" ht="12.75" customHeight="1">
      <c r="A23" s="206" t="s">
        <v>398</v>
      </c>
      <c r="E23" s="205"/>
    </row>
    <row r="24" spans="1:5" ht="12.75" customHeight="1">
      <c r="A24" s="207" t="s">
        <v>196</v>
      </c>
      <c r="E24" s="205"/>
    </row>
    <row r="25" spans="1:5" ht="13.5" customHeight="1">
      <c r="A25" s="181" t="s">
        <v>197</v>
      </c>
      <c r="E25" s="205"/>
    </row>
    <row r="26" spans="1:5" ht="14.25" customHeight="1">
      <c r="A26" s="181" t="s">
        <v>194</v>
      </c>
      <c r="E26" s="205"/>
    </row>
    <row r="27" spans="1:5" ht="12.75" customHeight="1">
      <c r="A27" s="181" t="s">
        <v>195</v>
      </c>
      <c r="E27" s="205"/>
    </row>
    <row r="28" spans="1:5">
      <c r="A28" s="181" t="s">
        <v>198</v>
      </c>
    </row>
    <row r="29" spans="1:5">
      <c r="A29" s="181" t="s">
        <v>237</v>
      </c>
    </row>
    <row r="30" spans="1:5">
      <c r="A30" s="181" t="s">
        <v>441</v>
      </c>
    </row>
    <row r="31" spans="1:5">
      <c r="A31" s="181" t="s">
        <v>383</v>
      </c>
    </row>
    <row r="35" spans="1:2" ht="12.75">
      <c r="A35" s="179" t="s">
        <v>632</v>
      </c>
    </row>
    <row r="36" spans="1:2" ht="12.75">
      <c r="A36" s="179"/>
    </row>
    <row r="37" spans="1:2" ht="12.75">
      <c r="A37" s="179"/>
    </row>
    <row r="38" spans="1:2" ht="12.75">
      <c r="A38" s="179"/>
    </row>
    <row r="39" spans="1:2" ht="12.75">
      <c r="A39" s="179" t="s">
        <v>384</v>
      </c>
      <c r="B39" s="181" t="s">
        <v>584</v>
      </c>
    </row>
    <row r="40" spans="1:2" ht="12.75">
      <c r="A40" s="179" t="s">
        <v>385</v>
      </c>
      <c r="B40" s="181" t="s">
        <v>386</v>
      </c>
    </row>
  </sheetData>
  <mergeCells count="4">
    <mergeCell ref="A3:B3"/>
    <mergeCell ref="A4:B4"/>
    <mergeCell ref="A5:B5"/>
    <mergeCell ref="A2:B2"/>
  </mergeCells>
  <phoneticPr fontId="6" type="noConversion"/>
  <pageMargins left="0.78740157499999996" right="0.42" top="0.984251969" bottom="0.984251969" header="0.49212598499999999" footer="0.49212598499999999"/>
  <pageSetup paperSize="9" orientation="portrait" verticalDpi="1200" r:id="rId1"/>
  <headerFooter alignWithMargins="0">
    <oddHeader>&amp;L&amp;"Times New Roman,Normal"ESTADO DO RIO GRANDE DO SUL
PREFEITURA MUNICIPAL DE BOA VISTA DO CADEADO</oddHeader>
  </headerFooter>
</worksheet>
</file>

<file path=xl/worksheets/sheet4.xml><?xml version="1.0" encoding="utf-8"?>
<worksheet xmlns="http://schemas.openxmlformats.org/spreadsheetml/2006/main" xmlns:r="http://schemas.openxmlformats.org/officeDocument/2006/relationships">
  <sheetPr codeName="Plan14"/>
  <dimension ref="A1:J72"/>
  <sheetViews>
    <sheetView view="pageLayout" topLeftCell="A4" zoomScaleNormal="100" workbookViewId="0">
      <selection activeCell="F52" sqref="F52"/>
    </sheetView>
  </sheetViews>
  <sheetFormatPr defaultRowHeight="11.25" customHeight="1"/>
  <cols>
    <col min="1" max="1" width="28.85546875" style="105" customWidth="1"/>
    <col min="2" max="2" width="13" style="105" customWidth="1"/>
    <col min="3" max="3" width="13.42578125" style="105" customWidth="1"/>
    <col min="4" max="4" width="10.42578125" style="105" customWidth="1"/>
    <col min="5" max="5" width="14.85546875" style="105" customWidth="1"/>
    <col min="6" max="6" width="13" style="105" customWidth="1"/>
    <col min="7" max="7" width="10" style="105" customWidth="1"/>
    <col min="8" max="8" width="12.85546875" style="105" customWidth="1"/>
    <col min="9" max="9" width="13.42578125" style="105" customWidth="1"/>
    <col min="10" max="10" width="9.28515625" style="105" customWidth="1"/>
    <col min="11" max="16384" width="9.140625" style="105"/>
  </cols>
  <sheetData>
    <row r="1" spans="1:10" ht="11.25" customHeight="1">
      <c r="A1" s="2"/>
      <c r="B1" s="2"/>
      <c r="C1" s="2"/>
      <c r="D1" s="2"/>
      <c r="E1" s="2"/>
      <c r="F1" s="2"/>
      <c r="G1" s="2"/>
      <c r="H1" s="2"/>
      <c r="I1" s="2"/>
      <c r="J1" s="2"/>
    </row>
    <row r="2" spans="1:10" ht="13.5" customHeight="1">
      <c r="A2" s="537" t="s">
        <v>32</v>
      </c>
      <c r="B2" s="538"/>
      <c r="C2" s="538"/>
      <c r="D2" s="538"/>
      <c r="E2" s="538"/>
      <c r="F2" s="538"/>
      <c r="G2" s="538"/>
      <c r="H2" s="538"/>
      <c r="I2" s="538"/>
      <c r="J2" s="539"/>
    </row>
    <row r="3" spans="1:10" ht="13.5" customHeight="1">
      <c r="A3" s="537" t="s">
        <v>136</v>
      </c>
      <c r="B3" s="538"/>
      <c r="C3" s="538"/>
      <c r="D3" s="538"/>
      <c r="E3" s="538"/>
      <c r="F3" s="538"/>
      <c r="G3" s="538"/>
      <c r="H3" s="538"/>
      <c r="I3" s="538"/>
      <c r="J3" s="539"/>
    </row>
    <row r="4" spans="1:10" s="220" customFormat="1" ht="17.25" customHeight="1">
      <c r="A4" s="537" t="s">
        <v>249</v>
      </c>
      <c r="B4" s="538"/>
      <c r="C4" s="538"/>
      <c r="D4" s="538"/>
      <c r="E4" s="538"/>
      <c r="F4" s="538"/>
      <c r="G4" s="538"/>
      <c r="H4" s="538"/>
      <c r="I4" s="538"/>
      <c r="J4" s="539"/>
    </row>
    <row r="5" spans="1:10" s="220" customFormat="1" ht="15">
      <c r="A5" s="537" t="s">
        <v>25</v>
      </c>
      <c r="B5" s="538"/>
      <c r="C5" s="538"/>
      <c r="D5" s="538"/>
      <c r="E5" s="538"/>
      <c r="F5" s="538"/>
      <c r="G5" s="538"/>
      <c r="H5" s="538"/>
      <c r="I5" s="538"/>
      <c r="J5" s="539"/>
    </row>
    <row r="6" spans="1:10" ht="11.25" customHeight="1">
      <c r="A6" s="540">
        <v>2013</v>
      </c>
      <c r="B6" s="541"/>
      <c r="C6" s="541"/>
      <c r="D6" s="541"/>
      <c r="E6" s="541"/>
      <c r="F6" s="541"/>
      <c r="G6" s="541"/>
      <c r="H6" s="541"/>
      <c r="I6" s="541"/>
      <c r="J6" s="542"/>
    </row>
    <row r="7" spans="1:10" ht="11.25" customHeight="1">
      <c r="A7" s="543"/>
      <c r="B7" s="543"/>
      <c r="C7" s="543"/>
      <c r="D7" s="543"/>
      <c r="E7" s="543"/>
      <c r="F7" s="543"/>
      <c r="G7" s="543"/>
      <c r="H7" s="543"/>
      <c r="I7" s="543"/>
      <c r="J7" s="543"/>
    </row>
    <row r="8" spans="1:10" ht="11.25" customHeight="1">
      <c r="A8" s="221" t="s">
        <v>22</v>
      </c>
      <c r="B8" s="528"/>
      <c r="C8" s="528"/>
      <c r="D8" s="528"/>
      <c r="E8" s="528"/>
      <c r="F8" s="528"/>
      <c r="G8" s="528"/>
      <c r="H8" s="529">
        <v>1</v>
      </c>
      <c r="I8" s="530"/>
      <c r="J8" s="530"/>
    </row>
    <row r="9" spans="1:10" s="222" customFormat="1" ht="11.25" customHeight="1">
      <c r="A9" s="531" t="s">
        <v>78</v>
      </c>
      <c r="B9" s="534">
        <v>2013</v>
      </c>
      <c r="C9" s="535"/>
      <c r="D9" s="536"/>
      <c r="E9" s="534">
        <v>2014</v>
      </c>
      <c r="F9" s="535"/>
      <c r="G9" s="536"/>
      <c r="H9" s="534">
        <v>2015</v>
      </c>
      <c r="I9" s="535"/>
      <c r="J9" s="535"/>
    </row>
    <row r="10" spans="1:10" ht="11.25" customHeight="1">
      <c r="A10" s="532"/>
      <c r="B10" s="223" t="s">
        <v>83</v>
      </c>
      <c r="C10" s="224" t="s">
        <v>83</v>
      </c>
      <c r="D10" s="224" t="s">
        <v>84</v>
      </c>
      <c r="E10" s="224" t="s">
        <v>83</v>
      </c>
      <c r="F10" s="224" t="s">
        <v>83</v>
      </c>
      <c r="G10" s="224" t="s">
        <v>84</v>
      </c>
      <c r="H10" s="224" t="s">
        <v>83</v>
      </c>
      <c r="I10" s="224" t="s">
        <v>83</v>
      </c>
      <c r="J10" s="225" t="s">
        <v>84</v>
      </c>
    </row>
    <row r="11" spans="1:10" ht="11.25" customHeight="1">
      <c r="A11" s="532"/>
      <c r="B11" s="226" t="s">
        <v>85</v>
      </c>
      <c r="C11" s="227" t="s">
        <v>86</v>
      </c>
      <c r="D11" s="227" t="s">
        <v>87</v>
      </c>
      <c r="E11" s="227" t="s">
        <v>85</v>
      </c>
      <c r="F11" s="227" t="s">
        <v>86</v>
      </c>
      <c r="G11" s="227" t="s">
        <v>88</v>
      </c>
      <c r="H11" s="227" t="s">
        <v>85</v>
      </c>
      <c r="I11" s="227" t="s">
        <v>86</v>
      </c>
      <c r="J11" s="228" t="s">
        <v>89</v>
      </c>
    </row>
    <row r="12" spans="1:10" ht="11.25" customHeight="1">
      <c r="A12" s="533"/>
      <c r="B12" s="229" t="s">
        <v>58</v>
      </c>
      <c r="C12" s="230"/>
      <c r="D12" s="231" t="s">
        <v>90</v>
      </c>
      <c r="E12" s="231" t="s">
        <v>59</v>
      </c>
      <c r="F12" s="230"/>
      <c r="G12" s="231" t="s">
        <v>90</v>
      </c>
      <c r="H12" s="231" t="s">
        <v>60</v>
      </c>
      <c r="I12" s="230"/>
      <c r="J12" s="232" t="s">
        <v>90</v>
      </c>
    </row>
    <row r="13" spans="1:10" ht="11.25" customHeight="1">
      <c r="A13" s="233" t="s">
        <v>96</v>
      </c>
      <c r="B13" s="234">
        <v>12100000</v>
      </c>
      <c r="C13" s="234">
        <f>B13/(1+B$65)</f>
        <v>11578947.368421054</v>
      </c>
      <c r="D13" s="250">
        <f t="shared" ref="D13:D20" si="0">B13/332863000000*100</f>
        <v>3.6351291672549967E-3</v>
      </c>
      <c r="E13" s="234">
        <v>12600000</v>
      </c>
      <c r="F13" s="234">
        <f t="shared" ref="F13:F18" si="1">E13/((1+B$65)*(1+C$65))</f>
        <v>11538197.385590991</v>
      </c>
      <c r="G13" s="250">
        <f t="shared" ref="G13:G20" si="2">E13/366973000000*100</f>
        <v>3.4334951072694719E-3</v>
      </c>
      <c r="H13" s="234">
        <v>13100000</v>
      </c>
      <c r="I13" s="234">
        <f t="shared" ref="I13:I18" si="3">(H13/((1+E$65)*(1+F$65)*(1+D$65)))</f>
        <v>12535885.167464117</v>
      </c>
      <c r="J13" s="251">
        <f t="shared" ref="J13:J20" si="4">H13/404579000000*100</f>
        <v>3.2379337533584296E-3</v>
      </c>
    </row>
    <row r="14" spans="1:10" ht="11.25" customHeight="1">
      <c r="A14" s="233" t="s">
        <v>97</v>
      </c>
      <c r="B14" s="234">
        <v>11948000</v>
      </c>
      <c r="C14" s="234">
        <f>B14/(1+B$65)</f>
        <v>11433492.822966509</v>
      </c>
      <c r="D14" s="250">
        <f t="shared" si="0"/>
        <v>3.5894647347407189E-3</v>
      </c>
      <c r="E14" s="234">
        <v>12437000</v>
      </c>
      <c r="F14" s="234">
        <f t="shared" si="1"/>
        <v>11388933.403539298</v>
      </c>
      <c r="G14" s="250">
        <f t="shared" si="2"/>
        <v>3.3890776705643197E-3</v>
      </c>
      <c r="H14" s="234">
        <v>12931000</v>
      </c>
      <c r="I14" s="234">
        <f t="shared" si="3"/>
        <v>12374162.679425837</v>
      </c>
      <c r="J14" s="251">
        <f t="shared" si="4"/>
        <v>3.1961619362349501E-3</v>
      </c>
    </row>
    <row r="15" spans="1:10" ht="11.25" customHeight="1">
      <c r="A15" s="233" t="s">
        <v>98</v>
      </c>
      <c r="B15" s="234">
        <v>12100000</v>
      </c>
      <c r="C15" s="234">
        <f>B15/(1+B$65)</f>
        <v>11578947.368421054</v>
      </c>
      <c r="D15" s="250">
        <f t="shared" si="0"/>
        <v>3.6351291672549967E-3</v>
      </c>
      <c r="E15" s="234">
        <v>12600000</v>
      </c>
      <c r="F15" s="234">
        <f t="shared" si="1"/>
        <v>11538197.385590991</v>
      </c>
      <c r="G15" s="250">
        <f t="shared" si="2"/>
        <v>3.4334951072694719E-3</v>
      </c>
      <c r="H15" s="234">
        <v>13100000</v>
      </c>
      <c r="I15" s="234">
        <f t="shared" si="3"/>
        <v>12535885.167464117</v>
      </c>
      <c r="J15" s="251">
        <f t="shared" si="4"/>
        <v>3.2379337533584296E-3</v>
      </c>
    </row>
    <row r="16" spans="1:10" ht="11.25" customHeight="1">
      <c r="A16" s="233" t="s">
        <v>91</v>
      </c>
      <c r="B16" s="234">
        <v>11321000</v>
      </c>
      <c r="C16" s="234">
        <f>B16/(1+B$65)</f>
        <v>10833492.822966509</v>
      </c>
      <c r="D16" s="250">
        <f t="shared" si="0"/>
        <v>3.4010989506193237E-3</v>
      </c>
      <c r="E16" s="234">
        <v>11778700</v>
      </c>
      <c r="F16" s="234">
        <f t="shared" si="1"/>
        <v>10786108.376639731</v>
      </c>
      <c r="G16" s="250">
        <f t="shared" si="2"/>
        <v>3.209691176190074E-3</v>
      </c>
      <c r="H16" s="234">
        <v>12307000</v>
      </c>
      <c r="I16" s="234">
        <f t="shared" si="3"/>
        <v>11777033.492822967</v>
      </c>
      <c r="J16" s="251">
        <f t="shared" si="4"/>
        <v>3.0419275345482588E-3</v>
      </c>
    </row>
    <row r="17" spans="1:10" ht="11.25" customHeight="1">
      <c r="A17" s="233" t="s">
        <v>26</v>
      </c>
      <c r="B17" s="234">
        <f>B14-B16</f>
        <v>627000</v>
      </c>
      <c r="C17" s="234">
        <f>(B17/(1+B$65))</f>
        <v>600000</v>
      </c>
      <c r="D17" s="250">
        <f t="shared" si="0"/>
        <v>1.8836578412139527E-4</v>
      </c>
      <c r="E17" s="234">
        <f>E14-E16</f>
        <v>658300</v>
      </c>
      <c r="F17" s="234">
        <f t="shared" si="1"/>
        <v>602825.02689956746</v>
      </c>
      <c r="G17" s="250">
        <f t="shared" si="2"/>
        <v>1.7938649437424553E-4</v>
      </c>
      <c r="H17" s="234">
        <f>H14-H16</f>
        <v>624000</v>
      </c>
      <c r="I17" s="234">
        <f t="shared" si="3"/>
        <v>597129.18660287082</v>
      </c>
      <c r="J17" s="251">
        <f t="shared" si="4"/>
        <v>1.5423440168669161E-4</v>
      </c>
    </row>
    <row r="18" spans="1:10" ht="11.25" customHeight="1">
      <c r="A18" s="233" t="s">
        <v>12</v>
      </c>
      <c r="B18" s="234">
        <v>1886214</v>
      </c>
      <c r="C18" s="234">
        <v>103360</v>
      </c>
      <c r="D18" s="250">
        <f t="shared" si="0"/>
        <v>5.6666376256898486E-4</v>
      </c>
      <c r="E18" s="234">
        <v>-325950</v>
      </c>
      <c r="F18" s="234">
        <f t="shared" si="1"/>
        <v>-298482.17760582408</v>
      </c>
      <c r="G18" s="250">
        <f t="shared" si="2"/>
        <v>-8.8821248429720991E-5</v>
      </c>
      <c r="H18" s="234">
        <v>-273800</v>
      </c>
      <c r="I18" s="234">
        <f t="shared" si="3"/>
        <v>-262009.56937799044</v>
      </c>
      <c r="J18" s="251">
        <f t="shared" si="4"/>
        <v>-6.7675287150346407E-5</v>
      </c>
    </row>
    <row r="19" spans="1:10" ht="11.25" customHeight="1">
      <c r="A19" s="233" t="s">
        <v>99</v>
      </c>
      <c r="B19" s="234">
        <v>602994</v>
      </c>
      <c r="C19" s="234">
        <f>B19/(1+B$65)</f>
        <v>577027.75119617232</v>
      </c>
      <c r="D19" s="250">
        <f t="shared" si="0"/>
        <v>1.8115380802312064E-4</v>
      </c>
      <c r="E19" s="234">
        <v>134100</v>
      </c>
      <c r="F19" s="234">
        <f>E19/(1+D$65)</f>
        <v>128325.35885167465</v>
      </c>
      <c r="G19" s="250">
        <f t="shared" si="2"/>
        <v>3.6542197927367953E-5</v>
      </c>
      <c r="H19" s="234">
        <v>134130</v>
      </c>
      <c r="I19" s="234">
        <f>H19/(1+H$65)</f>
        <v>134130</v>
      </c>
      <c r="J19" s="251">
        <f t="shared" si="4"/>
        <v>3.315298124717299E-5</v>
      </c>
    </row>
    <row r="20" spans="1:10" ht="11.25" customHeight="1">
      <c r="A20" s="235" t="s">
        <v>27</v>
      </c>
      <c r="B20" s="236">
        <v>-467457</v>
      </c>
      <c r="C20" s="234">
        <f>B20/(1+B$65)</f>
        <v>-447327.27272727276</v>
      </c>
      <c r="D20" s="250">
        <f t="shared" si="0"/>
        <v>-1.4043525414359661E-4</v>
      </c>
      <c r="E20" s="236">
        <v>-819696</v>
      </c>
      <c r="F20" s="234">
        <f>E20/((1+B$65)*(1+C$65))</f>
        <v>-750620.17810947564</v>
      </c>
      <c r="G20" s="250">
        <f t="shared" si="2"/>
        <v>-2.2336684170225056E-4</v>
      </c>
      <c r="H20" s="236">
        <v>-980126</v>
      </c>
      <c r="I20" s="234">
        <f>(H20/((1+E$65)*(1+F$65)*(1+D$65)))</f>
        <v>-937919.61722488049</v>
      </c>
      <c r="J20" s="251">
        <f t="shared" si="4"/>
        <v>-2.4225824869802929E-4</v>
      </c>
    </row>
    <row r="21" spans="1:10" ht="11.25" customHeight="1">
      <c r="A21" s="527" t="s">
        <v>399</v>
      </c>
      <c r="B21" s="527"/>
      <c r="C21" s="527"/>
      <c r="D21" s="527"/>
      <c r="E21" s="527"/>
      <c r="F21" s="527"/>
      <c r="G21" s="527"/>
      <c r="H21" s="527"/>
      <c r="I21" s="527"/>
      <c r="J21" s="527"/>
    </row>
    <row r="22" spans="1:10" ht="11.25" customHeight="1">
      <c r="A22" s="207"/>
      <c r="B22" s="207"/>
      <c r="C22" s="207"/>
      <c r="D22" s="207"/>
      <c r="E22" s="207"/>
      <c r="F22" s="207"/>
      <c r="G22" s="207"/>
      <c r="H22" s="207"/>
      <c r="I22" s="207"/>
      <c r="J22" s="207"/>
    </row>
    <row r="23" spans="1:10" ht="11.25" customHeight="1">
      <c r="A23" s="105" t="s">
        <v>166</v>
      </c>
    </row>
    <row r="24" spans="1:10" ht="11.25" customHeight="1">
      <c r="A24" s="111" t="s">
        <v>563</v>
      </c>
      <c r="B24" s="111"/>
      <c r="C24" s="112"/>
      <c r="D24" s="112"/>
      <c r="E24" s="112"/>
      <c r="F24" s="112"/>
      <c r="G24" s="112"/>
      <c r="H24" s="112"/>
    </row>
    <row r="25" spans="1:10" ht="11.25" customHeight="1">
      <c r="A25" s="111" t="s">
        <v>564</v>
      </c>
      <c r="B25" s="111"/>
      <c r="C25" s="112"/>
      <c r="D25" s="112"/>
      <c r="E25" s="112"/>
      <c r="F25" s="112"/>
      <c r="G25" s="112"/>
      <c r="H25" s="112"/>
    </row>
    <row r="26" spans="1:10" ht="11.25" customHeight="1">
      <c r="A26" s="450" t="s">
        <v>605</v>
      </c>
      <c r="B26" s="452" t="s">
        <v>606</v>
      </c>
      <c r="C26" s="453"/>
      <c r="E26" s="444"/>
      <c r="F26" s="179"/>
      <c r="G26" s="179"/>
      <c r="H26" s="179"/>
    </row>
    <row r="27" spans="1:10" ht="11.25" customHeight="1">
      <c r="A27" s="19" t="s">
        <v>555</v>
      </c>
      <c r="B27" s="19" t="s">
        <v>558</v>
      </c>
      <c r="C27" s="360"/>
      <c r="E27" s="443"/>
      <c r="F27" s="179"/>
      <c r="G27" s="179"/>
      <c r="H27" s="179"/>
    </row>
    <row r="28" spans="1:10" ht="11.25" customHeight="1">
      <c r="A28" s="19" t="s">
        <v>556</v>
      </c>
      <c r="B28" s="19" t="s">
        <v>559</v>
      </c>
      <c r="C28" s="360"/>
      <c r="E28" s="360"/>
      <c r="F28" s="243"/>
      <c r="G28" s="179"/>
      <c r="H28" s="179"/>
    </row>
    <row r="29" spans="1:10" ht="11.25" customHeight="1">
      <c r="A29" s="19" t="s">
        <v>557</v>
      </c>
      <c r="B29" s="19" t="s">
        <v>560</v>
      </c>
      <c r="C29" s="360"/>
      <c r="E29" s="360"/>
      <c r="F29" s="298"/>
      <c r="G29" s="179"/>
      <c r="H29" s="179"/>
    </row>
    <row r="30" spans="1:10" ht="11.25" customHeight="1">
      <c r="A30" s="19" t="s">
        <v>594</v>
      </c>
      <c r="B30" s="19" t="s">
        <v>561</v>
      </c>
      <c r="C30" s="360"/>
      <c r="D30" s="249"/>
      <c r="E30" s="360"/>
      <c r="F30" s="179"/>
      <c r="G30" s="179"/>
      <c r="H30" s="179"/>
    </row>
    <row r="31" spans="1:10" ht="11.25" customHeight="1">
      <c r="A31" s="19" t="s">
        <v>595</v>
      </c>
      <c r="B31" s="360" t="s">
        <v>597</v>
      </c>
      <c r="C31" s="19"/>
      <c r="D31" s="110"/>
      <c r="E31" s="179"/>
      <c r="F31" s="179"/>
      <c r="G31" s="179"/>
      <c r="H31" s="179"/>
    </row>
    <row r="32" spans="1:10" ht="11.25" customHeight="1">
      <c r="A32" s="19" t="s">
        <v>596</v>
      </c>
      <c r="B32" s="179"/>
      <c r="C32" s="179"/>
      <c r="D32" s="179"/>
      <c r="E32" s="179"/>
      <c r="F32" s="179"/>
      <c r="G32" s="179"/>
      <c r="H32" s="179"/>
    </row>
    <row r="33" spans="1:8" ht="11.25" customHeight="1">
      <c r="B33" s="179"/>
      <c r="C33" s="179"/>
      <c r="D33" s="179"/>
      <c r="E33" s="179"/>
      <c r="F33" s="179"/>
      <c r="G33" s="179"/>
      <c r="H33" s="179"/>
    </row>
    <row r="34" spans="1:8" ht="11.25" customHeight="1">
      <c r="A34" s="114" t="s">
        <v>380</v>
      </c>
      <c r="B34" s="113"/>
      <c r="C34" s="113"/>
      <c r="D34" s="113"/>
      <c r="E34" s="179"/>
      <c r="F34" s="179"/>
      <c r="G34" s="179"/>
      <c r="H34" s="179"/>
    </row>
    <row r="35" spans="1:8" ht="11.25" customHeight="1">
      <c r="A35" s="111" t="s">
        <v>381</v>
      </c>
      <c r="B35" s="111"/>
      <c r="C35" s="111"/>
      <c r="D35" s="194"/>
      <c r="E35" s="179"/>
      <c r="F35" s="179"/>
      <c r="G35" s="179"/>
      <c r="H35" s="179"/>
    </row>
    <row r="36" spans="1:8" ht="11.25" customHeight="1">
      <c r="A36" s="109" t="s">
        <v>593</v>
      </c>
      <c r="B36" s="179"/>
      <c r="C36" s="179"/>
      <c r="D36" s="179"/>
      <c r="E36" s="179"/>
      <c r="F36" s="179"/>
      <c r="G36" s="179"/>
      <c r="H36" s="179"/>
    </row>
    <row r="37" spans="1:8" ht="11.25" customHeight="1">
      <c r="A37" s="179"/>
      <c r="B37" s="179"/>
      <c r="C37" s="179"/>
      <c r="D37" s="179"/>
      <c r="E37" s="179"/>
      <c r="F37" s="179"/>
      <c r="G37" s="179"/>
      <c r="H37" s="179"/>
    </row>
    <row r="38" spans="1:8" ht="11.25" customHeight="1">
      <c r="A38" s="179"/>
      <c r="B38" s="179"/>
      <c r="C38" s="179"/>
      <c r="D38" s="179"/>
      <c r="E38" s="179"/>
      <c r="F38" s="179"/>
      <c r="G38" s="179"/>
      <c r="H38" s="179"/>
    </row>
    <row r="39" spans="1:8" ht="11.25" customHeight="1">
      <c r="A39" s="179" t="s">
        <v>631</v>
      </c>
      <c r="B39" s="179"/>
      <c r="C39" s="179"/>
      <c r="D39" s="179"/>
      <c r="E39" s="179"/>
      <c r="F39" s="179"/>
      <c r="G39" s="179"/>
      <c r="H39" s="179"/>
    </row>
    <row r="40" spans="1:8" ht="11.25" customHeight="1">
      <c r="A40" s="179"/>
      <c r="B40" s="179"/>
      <c r="C40" s="179"/>
      <c r="D40" s="179"/>
      <c r="E40" s="179"/>
      <c r="F40" s="179"/>
      <c r="G40" s="179"/>
      <c r="H40" s="179"/>
    </row>
    <row r="41" spans="1:8" ht="11.25" customHeight="1">
      <c r="A41" s="179"/>
      <c r="B41" s="179"/>
      <c r="C41" s="179"/>
      <c r="D41" s="179"/>
      <c r="E41" s="179"/>
      <c r="F41" s="179"/>
      <c r="G41" s="179"/>
      <c r="H41" s="179"/>
    </row>
    <row r="42" spans="1:8" ht="11.25" customHeight="1">
      <c r="A42" s="179"/>
      <c r="B42" s="179"/>
      <c r="C42" s="179"/>
      <c r="D42" s="179"/>
      <c r="E42" s="179"/>
      <c r="F42" s="179"/>
      <c r="G42" s="179"/>
      <c r="H42" s="179"/>
    </row>
    <row r="43" spans="1:8" ht="11.25" customHeight="1">
      <c r="A43" s="179" t="s">
        <v>375</v>
      </c>
      <c r="B43" s="179"/>
      <c r="C43" s="179" t="s">
        <v>377</v>
      </c>
      <c r="D43" s="179"/>
      <c r="E43" s="179"/>
      <c r="F43" s="179" t="s">
        <v>584</v>
      </c>
      <c r="G43" s="179"/>
      <c r="H43" s="179"/>
    </row>
    <row r="44" spans="1:8" ht="11.25" customHeight="1">
      <c r="A44" s="179" t="s">
        <v>376</v>
      </c>
      <c r="B44" s="179"/>
      <c r="C44" s="179" t="s">
        <v>378</v>
      </c>
      <c r="D44" s="179"/>
      <c r="E44" s="179"/>
      <c r="F44" s="179" t="s">
        <v>379</v>
      </c>
      <c r="G44" s="179"/>
      <c r="H44" s="179"/>
    </row>
    <row r="45" spans="1:8" ht="11.25" customHeight="1">
      <c r="A45" s="179"/>
      <c r="B45" s="179"/>
      <c r="C45" s="179"/>
      <c r="D45" s="179"/>
      <c r="E45" s="179"/>
      <c r="F45" s="179"/>
      <c r="G45" s="179"/>
      <c r="H45" s="179"/>
    </row>
    <row r="46" spans="1:8" ht="11.25" customHeight="1">
      <c r="A46" s="179"/>
      <c r="B46" s="179"/>
      <c r="C46" s="179"/>
      <c r="D46" s="179"/>
      <c r="E46" s="179"/>
      <c r="F46" s="179"/>
      <c r="G46" s="179"/>
      <c r="H46" s="179"/>
    </row>
    <row r="47" spans="1:8" ht="11.25" customHeight="1">
      <c r="A47" s="179"/>
      <c r="B47" s="179"/>
      <c r="C47" s="179"/>
      <c r="D47" s="179"/>
      <c r="E47" s="179"/>
      <c r="F47" s="179"/>
      <c r="G47" s="179"/>
      <c r="H47" s="179"/>
    </row>
    <row r="48" spans="1:8" ht="11.25" customHeight="1">
      <c r="A48" s="452"/>
      <c r="B48" s="179"/>
      <c r="C48" s="179"/>
      <c r="D48" s="179"/>
      <c r="E48" s="179"/>
      <c r="F48" s="179"/>
      <c r="G48" s="179"/>
      <c r="H48" s="179"/>
    </row>
    <row r="49" spans="1:8" ht="11.25" customHeight="1">
      <c r="A49" s="19"/>
      <c r="B49" s="179"/>
      <c r="C49" s="179"/>
      <c r="D49" s="179"/>
      <c r="E49" s="179"/>
      <c r="F49" s="179"/>
      <c r="G49" s="179"/>
      <c r="H49" s="179"/>
    </row>
    <row r="50" spans="1:8" ht="11.25" customHeight="1">
      <c r="A50" s="19"/>
      <c r="B50" s="179"/>
      <c r="C50" s="179"/>
      <c r="D50" s="179"/>
      <c r="E50" s="179"/>
      <c r="F50" s="179"/>
      <c r="G50" s="179"/>
      <c r="H50" s="179"/>
    </row>
    <row r="51" spans="1:8" ht="11.25" customHeight="1">
      <c r="A51" s="19"/>
      <c r="B51" s="179"/>
      <c r="C51" s="179"/>
      <c r="D51" s="179"/>
      <c r="E51" s="179"/>
      <c r="F51" s="179"/>
      <c r="G51" s="179"/>
      <c r="H51" s="179"/>
    </row>
    <row r="52" spans="1:8" ht="11.25" customHeight="1">
      <c r="A52" s="19"/>
      <c r="B52" s="179"/>
      <c r="C52" s="179"/>
      <c r="D52" s="179"/>
      <c r="E52" s="179"/>
      <c r="F52" s="179"/>
      <c r="G52" s="179"/>
      <c r="H52" s="179"/>
    </row>
    <row r="53" spans="1:8" ht="11.25" customHeight="1">
      <c r="A53" s="19"/>
      <c r="B53" s="179"/>
      <c r="C53" s="179"/>
      <c r="D53" s="179"/>
      <c r="E53" s="179"/>
      <c r="F53" s="179"/>
      <c r="G53" s="179"/>
      <c r="H53" s="179"/>
    </row>
    <row r="54" spans="1:8" ht="11.25" customHeight="1">
      <c r="A54" s="179"/>
      <c r="B54" s="179"/>
      <c r="C54" s="179"/>
      <c r="D54" s="179"/>
      <c r="E54" s="179"/>
      <c r="F54" s="179"/>
      <c r="G54" s="179"/>
      <c r="H54" s="179"/>
    </row>
    <row r="55" spans="1:8" ht="11.25" customHeight="1">
      <c r="A55" s="179"/>
      <c r="B55" s="179"/>
      <c r="C55" s="179"/>
      <c r="D55" s="179"/>
      <c r="E55" s="179"/>
      <c r="F55" s="179"/>
      <c r="G55" s="179"/>
      <c r="H55" s="179"/>
    </row>
    <row r="61" spans="1:8" ht="11.25" customHeight="1" thickBot="1"/>
    <row r="62" spans="1:8" ht="25.5" customHeight="1" thickBot="1">
      <c r="A62" s="524" t="s">
        <v>328</v>
      </c>
      <c r="B62" s="525"/>
      <c r="C62" s="525"/>
      <c r="D62" s="526"/>
      <c r="E62" s="237"/>
    </row>
    <row r="63" spans="1:8" ht="11.25" customHeight="1">
      <c r="A63" s="238" t="s">
        <v>239</v>
      </c>
      <c r="B63" s="239">
        <v>2013</v>
      </c>
      <c r="C63" s="239">
        <v>2014</v>
      </c>
      <c r="D63" s="240">
        <v>2015</v>
      </c>
      <c r="E63" s="237"/>
    </row>
    <row r="64" spans="1:8" ht="11.25" customHeight="1">
      <c r="A64" s="238"/>
      <c r="B64" s="239"/>
      <c r="C64" s="239"/>
      <c r="D64" s="240"/>
      <c r="E64" s="237"/>
    </row>
    <row r="65" spans="1:5" ht="11.25" customHeight="1">
      <c r="A65" s="238" t="s">
        <v>240</v>
      </c>
      <c r="B65" s="241">
        <v>4.4999999999999998E-2</v>
      </c>
      <c r="C65" s="241">
        <v>4.4999999999999998E-2</v>
      </c>
      <c r="D65" s="242">
        <v>4.4999999999999998E-2</v>
      </c>
      <c r="E65" s="237"/>
    </row>
    <row r="66" spans="1:5" ht="11.25" customHeight="1">
      <c r="A66" s="238" t="s">
        <v>329</v>
      </c>
      <c r="B66" s="243">
        <v>8600000</v>
      </c>
      <c r="C66" s="243">
        <v>8837000</v>
      </c>
      <c r="D66" s="244">
        <v>157830</v>
      </c>
      <c r="E66" s="237"/>
    </row>
    <row r="67" spans="1:5" ht="11.25" customHeight="1" thickBot="1">
      <c r="A67" s="245" t="s">
        <v>330</v>
      </c>
      <c r="B67" s="246">
        <f>(B66/(1+B65))</f>
        <v>8229665.0717703355</v>
      </c>
      <c r="C67" s="246">
        <f>(C66/((1+C65)*(1+B65)))</f>
        <v>8092305.5790847298</v>
      </c>
      <c r="D67" s="246">
        <f>(D66/((1+B65)*(1+C65)*(1+D65)))</f>
        <v>138305.89301798635</v>
      </c>
      <c r="E67" s="237"/>
    </row>
    <row r="68" spans="1:5" ht="11.25" customHeight="1">
      <c r="A68" s="247" t="s">
        <v>241</v>
      </c>
      <c r="B68" s="237"/>
      <c r="C68" s="237"/>
      <c r="D68" s="237"/>
      <c r="E68" s="237"/>
    </row>
    <row r="69" spans="1:5" ht="11.25" customHeight="1">
      <c r="A69" s="239" t="s">
        <v>242</v>
      </c>
      <c r="B69" s="248"/>
      <c r="C69" s="237"/>
      <c r="D69" s="237"/>
      <c r="E69" s="237"/>
    </row>
    <row r="70" spans="1:5" ht="11.25" customHeight="1">
      <c r="A70" s="239" t="s">
        <v>243</v>
      </c>
      <c r="B70" s="237"/>
      <c r="C70" s="237"/>
      <c r="D70" s="237"/>
      <c r="E70" s="237"/>
    </row>
    <row r="71" spans="1:5" ht="11.25" customHeight="1">
      <c r="A71" s="239" t="s">
        <v>244</v>
      </c>
      <c r="B71" s="237"/>
      <c r="C71" s="237"/>
      <c r="D71" s="237"/>
      <c r="E71" s="237"/>
    </row>
    <row r="72" spans="1:5" ht="11.25" customHeight="1">
      <c r="A72" s="239" t="s">
        <v>245</v>
      </c>
      <c r="B72" s="237"/>
      <c r="C72" s="237"/>
      <c r="D72" s="237"/>
      <c r="E72" s="237"/>
    </row>
  </sheetData>
  <mergeCells count="15">
    <mergeCell ref="A5:J5"/>
    <mergeCell ref="A6:J6"/>
    <mergeCell ref="A7:J7"/>
    <mergeCell ref="A2:J2"/>
    <mergeCell ref="A3:J3"/>
    <mergeCell ref="A4:J4"/>
    <mergeCell ref="A62:D62"/>
    <mergeCell ref="A21:J21"/>
    <mergeCell ref="B8:D8"/>
    <mergeCell ref="E8:G8"/>
    <mergeCell ref="H8:J8"/>
    <mergeCell ref="A9:A12"/>
    <mergeCell ref="B9:D9"/>
    <mergeCell ref="E9:G9"/>
    <mergeCell ref="H9:J9"/>
  </mergeCells>
  <phoneticPr fontId="6" type="noConversion"/>
  <pageMargins left="0.78740157480314965" right="0.78740157480314965" top="0.98425196850393704" bottom="0.98425196850393704" header="0.51181102362204722" footer="0.51181102362204722"/>
  <pageSetup paperSize="9" scale="75" orientation="landscape" r:id="rId1"/>
  <headerFooter alignWithMargins="0">
    <oddHeader xml:space="preserve">&amp;LESTADO DO RIO GRANDE DO SUL
PREFEITURA MUNICIPAL DE BOA VISTA DO CADEADO
</oddHeader>
  </headerFooter>
  <drawing r:id="rId2"/>
</worksheet>
</file>

<file path=xl/worksheets/sheet5.xml><?xml version="1.0" encoding="utf-8"?>
<worksheet xmlns="http://schemas.openxmlformats.org/spreadsheetml/2006/main" xmlns:r="http://schemas.openxmlformats.org/officeDocument/2006/relationships">
  <sheetPr codeName="Plan9"/>
  <dimension ref="A1:K75"/>
  <sheetViews>
    <sheetView view="pageLayout" topLeftCell="A40" zoomScaleNormal="100" workbookViewId="0">
      <selection activeCell="A62" sqref="A62"/>
    </sheetView>
  </sheetViews>
  <sheetFormatPr defaultColWidth="7.85546875" defaultRowHeight="11.25" customHeight="1"/>
  <cols>
    <col min="1" max="1" width="53.5703125" style="12" customWidth="1"/>
    <col min="2" max="2" width="16" style="12" customWidth="1"/>
    <col min="3" max="4" width="10.42578125" style="12" hidden="1" customWidth="1"/>
    <col min="5" max="5" width="13.140625" style="12" customWidth="1"/>
    <col min="6" max="7" width="10.42578125" style="12" hidden="1" customWidth="1"/>
    <col min="8" max="8" width="13.85546875" style="12" customWidth="1"/>
    <col min="9" max="9" width="0.140625" style="12" customWidth="1"/>
    <col min="10" max="10" width="13.7109375" style="12" customWidth="1"/>
    <col min="11" max="16384" width="7.85546875" style="12"/>
  </cols>
  <sheetData>
    <row r="1" spans="1:11" ht="11.25" customHeight="1">
      <c r="A1" s="545" t="s">
        <v>31</v>
      </c>
      <c r="B1" s="545"/>
      <c r="C1" s="545"/>
      <c r="D1" s="545"/>
      <c r="E1" s="545"/>
      <c r="F1" s="545"/>
      <c r="G1" s="545"/>
      <c r="H1" s="545"/>
      <c r="I1" s="545"/>
      <c r="J1" s="545"/>
    </row>
    <row r="2" spans="1:11" ht="11.25" customHeight="1">
      <c r="A2" s="544" t="s">
        <v>136</v>
      </c>
      <c r="B2" s="544"/>
      <c r="C2" s="544"/>
      <c r="D2" s="544"/>
      <c r="E2" s="544"/>
      <c r="F2" s="544"/>
      <c r="G2" s="544"/>
      <c r="H2" s="544"/>
      <c r="I2" s="544"/>
      <c r="J2" s="544"/>
    </row>
    <row r="3" spans="1:11" ht="13.5" customHeight="1">
      <c r="A3" s="551" t="s">
        <v>249</v>
      </c>
      <c r="B3" s="552"/>
      <c r="C3" s="552"/>
      <c r="D3" s="552"/>
      <c r="E3" s="552"/>
      <c r="F3" s="552"/>
      <c r="G3" s="552"/>
      <c r="H3" s="552"/>
      <c r="I3" s="552"/>
      <c r="J3" s="552"/>
    </row>
    <row r="4" spans="1:11" ht="12">
      <c r="A4" s="548" t="s">
        <v>24</v>
      </c>
      <c r="B4" s="548"/>
      <c r="C4" s="548"/>
      <c r="D4" s="548"/>
      <c r="E4" s="548"/>
      <c r="F4" s="548"/>
      <c r="G4" s="548"/>
      <c r="H4" s="548"/>
      <c r="I4" s="548"/>
      <c r="J4" s="548"/>
    </row>
    <row r="5" spans="1:11" ht="12" customHeight="1">
      <c r="A5" s="546">
        <v>2013</v>
      </c>
      <c r="B5" s="547"/>
      <c r="C5" s="547"/>
      <c r="D5" s="547"/>
      <c r="E5" s="547"/>
      <c r="F5" s="547"/>
      <c r="G5" s="547"/>
      <c r="H5" s="547"/>
      <c r="I5" s="547"/>
      <c r="J5" s="547"/>
    </row>
    <row r="6" spans="1:11" ht="13.5" customHeight="1" thickBot="1">
      <c r="A6" s="120"/>
      <c r="B6" s="120"/>
      <c r="C6" s="120"/>
      <c r="D6" s="120"/>
      <c r="E6" s="120"/>
      <c r="F6" s="120"/>
      <c r="G6" s="120"/>
      <c r="H6" s="120"/>
      <c r="I6" s="120"/>
      <c r="J6" s="121">
        <v>1</v>
      </c>
    </row>
    <row r="7" spans="1:11" ht="11.25" customHeight="1" thickBot="1">
      <c r="A7" s="122" t="s">
        <v>387</v>
      </c>
      <c r="B7" s="123">
        <v>2013</v>
      </c>
      <c r="C7" s="124">
        <v>2010</v>
      </c>
      <c r="D7" s="125"/>
      <c r="E7" s="124">
        <v>2014</v>
      </c>
      <c r="F7" s="124">
        <v>2011</v>
      </c>
      <c r="G7" s="126"/>
      <c r="H7" s="124">
        <v>2015</v>
      </c>
      <c r="I7" s="124">
        <v>2012</v>
      </c>
      <c r="J7" s="119" t="s">
        <v>562</v>
      </c>
    </row>
    <row r="8" spans="1:11" ht="11.25" customHeight="1" thickBot="1">
      <c r="A8" s="127"/>
      <c r="B8" s="128" t="s">
        <v>152</v>
      </c>
      <c r="C8" s="129" t="s">
        <v>153</v>
      </c>
      <c r="D8" s="130" t="s">
        <v>20</v>
      </c>
      <c r="E8" s="128" t="s">
        <v>152</v>
      </c>
      <c r="F8" s="128" t="s">
        <v>153</v>
      </c>
      <c r="G8" s="128" t="s">
        <v>20</v>
      </c>
      <c r="H8" s="128" t="s">
        <v>152</v>
      </c>
      <c r="I8" s="131" t="s">
        <v>153</v>
      </c>
      <c r="J8" s="128" t="s">
        <v>20</v>
      </c>
    </row>
    <row r="9" spans="1:11" ht="13.5" customHeight="1" thickBot="1">
      <c r="A9" s="130" t="s">
        <v>61</v>
      </c>
      <c r="B9" s="115"/>
      <c r="C9" s="115"/>
      <c r="D9" s="115"/>
      <c r="E9" s="115"/>
      <c r="F9" s="115"/>
      <c r="G9" s="115"/>
      <c r="H9" s="115"/>
      <c r="I9" s="116"/>
      <c r="J9" s="115"/>
      <c r="K9" s="117"/>
    </row>
    <row r="10" spans="1:11" ht="12" customHeight="1" thickBot="1">
      <c r="A10" s="132" t="s">
        <v>74</v>
      </c>
      <c r="B10" s="133">
        <f>B11+B18+B21</f>
        <v>11802000</v>
      </c>
      <c r="C10" s="133"/>
      <c r="D10" s="133"/>
      <c r="E10" s="133">
        <f>E11+E18+E21</f>
        <v>12289000</v>
      </c>
      <c r="F10" s="133"/>
      <c r="G10" s="133"/>
      <c r="H10" s="133">
        <f>H11+H18+H21</f>
        <v>12776000</v>
      </c>
      <c r="I10" s="134"/>
      <c r="J10" s="133">
        <f>SUM(B10:H10)</f>
        <v>36867000</v>
      </c>
      <c r="K10" s="117"/>
    </row>
    <row r="11" spans="1:11" ht="11.25" customHeight="1">
      <c r="A11" s="135" t="s">
        <v>62</v>
      </c>
      <c r="B11" s="136">
        <v>610000</v>
      </c>
      <c r="C11" s="137"/>
      <c r="D11" s="138"/>
      <c r="E11" s="494">
        <v>637000</v>
      </c>
      <c r="F11" s="139"/>
      <c r="G11" s="140"/>
      <c r="H11" s="136">
        <v>665000</v>
      </c>
      <c r="I11" s="141"/>
      <c r="J11" s="142">
        <f>SUM(B11:H11)</f>
        <v>1912000</v>
      </c>
      <c r="K11" s="117"/>
    </row>
    <row r="12" spans="1:11" ht="11.25" customHeight="1">
      <c r="A12" s="135" t="s">
        <v>55</v>
      </c>
      <c r="B12" s="143"/>
      <c r="C12" s="144"/>
      <c r="D12" s="145"/>
      <c r="E12" s="143"/>
      <c r="F12" s="146"/>
      <c r="G12" s="147"/>
      <c r="H12" s="148"/>
      <c r="I12" s="149"/>
      <c r="J12" s="150">
        <f>SUM(B12:H12)</f>
        <v>0</v>
      </c>
      <c r="K12" s="117"/>
    </row>
    <row r="13" spans="1:11" ht="11.25" customHeight="1">
      <c r="A13" s="135" t="s">
        <v>63</v>
      </c>
      <c r="B13" s="143"/>
      <c r="C13" s="144"/>
      <c r="D13" s="145"/>
      <c r="E13" s="143"/>
      <c r="F13" s="146"/>
      <c r="G13" s="147"/>
      <c r="H13" s="148"/>
      <c r="I13" s="149"/>
      <c r="J13" s="150">
        <f t="shared" ref="J13:J31" si="0">SUM(B13:H13)</f>
        <v>0</v>
      </c>
      <c r="K13" s="117"/>
    </row>
    <row r="14" spans="1:11" ht="11.25" customHeight="1">
      <c r="A14" s="135" t="s">
        <v>64</v>
      </c>
      <c r="B14" s="143"/>
      <c r="C14" s="144"/>
      <c r="D14" s="145"/>
      <c r="E14" s="143"/>
      <c r="F14" s="146"/>
      <c r="G14" s="147"/>
      <c r="H14" s="148"/>
      <c r="I14" s="149"/>
      <c r="J14" s="150">
        <f t="shared" si="0"/>
        <v>0</v>
      </c>
      <c r="K14" s="117"/>
    </row>
    <row r="15" spans="1:11" ht="11.25" customHeight="1">
      <c r="A15" s="135" t="s">
        <v>42</v>
      </c>
      <c r="B15" s="143">
        <f>B16-B17</f>
        <v>0</v>
      </c>
      <c r="C15" s="144"/>
      <c r="D15" s="145"/>
      <c r="E15" s="143">
        <f>E16-E17</f>
        <v>0</v>
      </c>
      <c r="F15" s="146"/>
      <c r="G15" s="147"/>
      <c r="H15" s="143">
        <f>H16-H17</f>
        <v>0</v>
      </c>
      <c r="I15" s="149"/>
      <c r="J15" s="150">
        <f t="shared" si="0"/>
        <v>0</v>
      </c>
      <c r="K15" s="117"/>
    </row>
    <row r="16" spans="1:11" ht="11.25" customHeight="1">
      <c r="A16" s="135" t="s">
        <v>36</v>
      </c>
      <c r="B16" s="143">
        <f>B17</f>
        <v>116000</v>
      </c>
      <c r="C16" s="144"/>
      <c r="D16" s="145"/>
      <c r="E16" s="143">
        <f>E17</f>
        <v>121000</v>
      </c>
      <c r="F16" s="146"/>
      <c r="G16" s="147"/>
      <c r="H16" s="143">
        <f>H17</f>
        <v>126000</v>
      </c>
      <c r="I16" s="149"/>
      <c r="J16" s="150">
        <f t="shared" si="0"/>
        <v>363000</v>
      </c>
      <c r="K16" s="117"/>
    </row>
    <row r="17" spans="1:11" ht="11.25" customHeight="1">
      <c r="A17" s="135" t="s">
        <v>37</v>
      </c>
      <c r="B17" s="143">
        <v>116000</v>
      </c>
      <c r="C17" s="144"/>
      <c r="D17" s="145"/>
      <c r="E17" s="143">
        <v>121000</v>
      </c>
      <c r="F17" s="146"/>
      <c r="G17" s="147"/>
      <c r="H17" s="143">
        <v>126000</v>
      </c>
      <c r="I17" s="149"/>
      <c r="J17" s="150">
        <f t="shared" si="0"/>
        <v>363000</v>
      </c>
      <c r="K17" s="117"/>
    </row>
    <row r="18" spans="1:11" ht="11.25" customHeight="1">
      <c r="A18" s="135" t="s">
        <v>79</v>
      </c>
      <c r="B18" s="143">
        <f>B20+B19</f>
        <v>11046000</v>
      </c>
      <c r="C18" s="144"/>
      <c r="D18" s="145"/>
      <c r="E18" s="143">
        <f>E20+E19</f>
        <v>11510000</v>
      </c>
      <c r="F18" s="146"/>
      <c r="G18" s="147"/>
      <c r="H18" s="143">
        <f>H20+H19+H21</f>
        <v>11976000</v>
      </c>
      <c r="I18" s="149"/>
      <c r="J18" s="150">
        <f t="shared" si="0"/>
        <v>34532000</v>
      </c>
      <c r="K18" s="117"/>
    </row>
    <row r="19" spans="1:11" ht="11.25" customHeight="1">
      <c r="A19" s="135" t="s">
        <v>40</v>
      </c>
      <c r="B19" s="143">
        <v>120000</v>
      </c>
      <c r="C19" s="144"/>
      <c r="D19" s="145"/>
      <c r="E19" s="143">
        <v>125000</v>
      </c>
      <c r="F19" s="146"/>
      <c r="G19" s="147"/>
      <c r="H19" s="148">
        <v>130000</v>
      </c>
      <c r="I19" s="149"/>
      <c r="J19" s="150">
        <f t="shared" si="0"/>
        <v>375000</v>
      </c>
      <c r="K19" s="117"/>
    </row>
    <row r="20" spans="1:11" ht="11.25" customHeight="1">
      <c r="A20" s="135" t="s">
        <v>80</v>
      </c>
      <c r="B20" s="143">
        <f>10780000+146000</f>
        <v>10926000</v>
      </c>
      <c r="C20" s="144"/>
      <c r="D20" s="145"/>
      <c r="E20" s="143">
        <v>11385000</v>
      </c>
      <c r="F20" s="146"/>
      <c r="G20" s="147"/>
      <c r="H20" s="148">
        <f>11704000+7000</f>
        <v>11711000</v>
      </c>
      <c r="I20" s="149"/>
      <c r="J20" s="150">
        <f t="shared" si="0"/>
        <v>34022000</v>
      </c>
      <c r="K20" s="117"/>
    </row>
    <row r="21" spans="1:11" ht="11.25" customHeight="1">
      <c r="A21" s="135" t="s">
        <v>43</v>
      </c>
      <c r="B21" s="143">
        <f>+B22+B23</f>
        <v>146000</v>
      </c>
      <c r="C21" s="144"/>
      <c r="D21" s="145"/>
      <c r="E21" s="143">
        <f>+E22+E23</f>
        <v>142000</v>
      </c>
      <c r="F21" s="146"/>
      <c r="G21" s="147"/>
      <c r="H21" s="143">
        <f>+H22+H23</f>
        <v>135000</v>
      </c>
      <c r="I21" s="149"/>
      <c r="J21" s="150">
        <f t="shared" si="0"/>
        <v>423000</v>
      </c>
      <c r="K21" s="117"/>
    </row>
    <row r="22" spans="1:11" ht="11.25" customHeight="1">
      <c r="A22" s="135" t="s">
        <v>38</v>
      </c>
      <c r="B22" s="143">
        <v>12000</v>
      </c>
      <c r="C22" s="144"/>
      <c r="D22" s="145"/>
      <c r="E22" s="143">
        <v>12000</v>
      </c>
      <c r="F22" s="146"/>
      <c r="G22" s="147"/>
      <c r="H22" s="148">
        <v>12000</v>
      </c>
      <c r="I22" s="149"/>
      <c r="J22" s="150">
        <f t="shared" si="0"/>
        <v>36000</v>
      </c>
      <c r="K22" s="117"/>
    </row>
    <row r="23" spans="1:11" ht="11.25" customHeight="1">
      <c r="A23" s="135" t="s">
        <v>39</v>
      </c>
      <c r="B23" s="143">
        <f>24000+110000</f>
        <v>134000</v>
      </c>
      <c r="C23" s="144"/>
      <c r="D23" s="145"/>
      <c r="E23" s="143">
        <v>130000</v>
      </c>
      <c r="F23" s="146"/>
      <c r="G23" s="147"/>
      <c r="H23" s="148">
        <v>123000</v>
      </c>
      <c r="I23" s="149"/>
      <c r="J23" s="150">
        <f t="shared" si="0"/>
        <v>387000</v>
      </c>
      <c r="K23" s="117"/>
    </row>
    <row r="24" spans="1:11" ht="11.25" customHeight="1">
      <c r="A24" s="135" t="s">
        <v>130</v>
      </c>
      <c r="B24" s="143">
        <f>B26+B29+B30</f>
        <v>182000</v>
      </c>
      <c r="C24" s="144"/>
      <c r="D24" s="145"/>
      <c r="E24" s="143">
        <f>E26+E29+E30</f>
        <v>190000</v>
      </c>
      <c r="F24" s="146"/>
      <c r="G24" s="147"/>
      <c r="H24" s="143">
        <f>H26+H29+H30</f>
        <v>198000</v>
      </c>
      <c r="I24" s="149"/>
      <c r="J24" s="150">
        <f t="shared" si="0"/>
        <v>570000</v>
      </c>
      <c r="K24" s="117"/>
    </row>
    <row r="25" spans="1:11" ht="11.25" customHeight="1">
      <c r="A25" s="135" t="s">
        <v>44</v>
      </c>
      <c r="B25" s="143"/>
      <c r="C25" s="144"/>
      <c r="D25" s="145"/>
      <c r="E25" s="143"/>
      <c r="F25" s="146"/>
      <c r="G25" s="147"/>
      <c r="H25" s="148"/>
      <c r="I25" s="149"/>
      <c r="J25" s="150">
        <f t="shared" si="0"/>
        <v>0</v>
      </c>
      <c r="K25" s="117"/>
    </row>
    <row r="26" spans="1:11" ht="11.25" customHeight="1">
      <c r="A26" s="135" t="s">
        <v>45</v>
      </c>
      <c r="B26" s="143">
        <v>36000</v>
      </c>
      <c r="C26" s="144"/>
      <c r="D26" s="145"/>
      <c r="E26" s="143">
        <v>42000</v>
      </c>
      <c r="F26" s="146"/>
      <c r="G26" s="147"/>
      <c r="H26" s="143">
        <v>43000</v>
      </c>
      <c r="I26" s="149"/>
      <c r="J26" s="150">
        <f t="shared" si="0"/>
        <v>121000</v>
      </c>
      <c r="K26" s="117"/>
    </row>
    <row r="27" spans="1:11" s="13" customFormat="1" ht="11.25" customHeight="1">
      <c r="A27" s="135" t="s">
        <v>54</v>
      </c>
      <c r="B27" s="143"/>
      <c r="C27" s="144"/>
      <c r="D27" s="145"/>
      <c r="E27" s="143"/>
      <c r="F27" s="146"/>
      <c r="G27" s="147"/>
      <c r="H27" s="148"/>
      <c r="I27" s="149"/>
      <c r="J27" s="150">
        <f t="shared" si="0"/>
        <v>0</v>
      </c>
      <c r="K27" s="118"/>
    </row>
    <row r="28" spans="1:11" ht="11.25" customHeight="1">
      <c r="A28" s="135" t="s">
        <v>46</v>
      </c>
      <c r="B28" s="143"/>
      <c r="C28" s="144"/>
      <c r="D28" s="145"/>
      <c r="E28" s="143"/>
      <c r="F28" s="146"/>
      <c r="G28" s="147"/>
      <c r="H28" s="148"/>
      <c r="I28" s="149"/>
      <c r="J28" s="150">
        <f t="shared" si="0"/>
        <v>0</v>
      </c>
      <c r="K28" s="117"/>
    </row>
    <row r="29" spans="1:11" ht="11.25" customHeight="1">
      <c r="A29" s="135" t="s">
        <v>40</v>
      </c>
      <c r="B29" s="143">
        <v>100000</v>
      </c>
      <c r="C29" s="144"/>
      <c r="D29" s="145"/>
      <c r="E29" s="143">
        <v>100000</v>
      </c>
      <c r="F29" s="146"/>
      <c r="G29" s="147"/>
      <c r="H29" s="148">
        <v>100000</v>
      </c>
      <c r="I29" s="149"/>
      <c r="J29" s="150">
        <f t="shared" si="0"/>
        <v>300000</v>
      </c>
      <c r="K29" s="117"/>
    </row>
    <row r="30" spans="1:11" ht="11.25" customHeight="1">
      <c r="A30" s="135" t="s">
        <v>41</v>
      </c>
      <c r="B30" s="143">
        <v>46000</v>
      </c>
      <c r="C30" s="144"/>
      <c r="D30" s="145"/>
      <c r="E30" s="143">
        <v>48000</v>
      </c>
      <c r="F30" s="146"/>
      <c r="G30" s="147"/>
      <c r="H30" s="148">
        <v>55000</v>
      </c>
      <c r="I30" s="149"/>
      <c r="J30" s="150">
        <f t="shared" si="0"/>
        <v>149000</v>
      </c>
      <c r="K30" s="117"/>
    </row>
    <row r="31" spans="1:11" ht="11.25" customHeight="1">
      <c r="A31" s="135" t="s">
        <v>127</v>
      </c>
      <c r="B31" s="143"/>
      <c r="C31" s="144"/>
      <c r="D31" s="145"/>
      <c r="E31" s="143"/>
      <c r="F31" s="146"/>
      <c r="G31" s="147"/>
      <c r="H31" s="148"/>
      <c r="I31" s="149"/>
      <c r="J31" s="150">
        <f t="shared" si="0"/>
        <v>0</v>
      </c>
      <c r="K31" s="117"/>
    </row>
    <row r="32" spans="1:11" ht="12.75" customHeight="1" thickBot="1">
      <c r="A32" s="151" t="s">
        <v>75</v>
      </c>
      <c r="B32" s="152">
        <f>B24-B25-B26-B27</f>
        <v>146000</v>
      </c>
      <c r="C32" s="153"/>
      <c r="D32" s="154"/>
      <c r="E32" s="152">
        <f>E24-E25-E26-E27</f>
        <v>148000</v>
      </c>
      <c r="F32" s="155"/>
      <c r="G32" s="156"/>
      <c r="H32" s="152">
        <f>H24-H25-H26-H27</f>
        <v>155000</v>
      </c>
      <c r="I32" s="157"/>
      <c r="J32" s="152">
        <f>J24</f>
        <v>570000</v>
      </c>
      <c r="K32" s="117"/>
    </row>
    <row r="33" spans="1:11" ht="14.25" customHeight="1" thickBot="1">
      <c r="A33" s="158" t="s">
        <v>65</v>
      </c>
      <c r="B33" s="159">
        <f>B10+B32</f>
        <v>11948000</v>
      </c>
      <c r="C33" s="159"/>
      <c r="D33" s="159"/>
      <c r="E33" s="159">
        <f>E10+E32</f>
        <v>12437000</v>
      </c>
      <c r="F33" s="159"/>
      <c r="G33" s="159"/>
      <c r="H33" s="159">
        <f>H10+H32</f>
        <v>12931000</v>
      </c>
      <c r="I33" s="160"/>
      <c r="J33" s="159">
        <f>J24+J10</f>
        <v>37437000</v>
      </c>
      <c r="K33" s="117"/>
    </row>
    <row r="34" spans="1:11" ht="13.5" customHeight="1" thickBot="1">
      <c r="A34" s="128" t="s">
        <v>66</v>
      </c>
      <c r="B34" s="161"/>
      <c r="C34" s="162"/>
      <c r="D34" s="163"/>
      <c r="E34" s="162"/>
      <c r="F34" s="163"/>
      <c r="G34" s="162"/>
      <c r="H34" s="162"/>
      <c r="I34" s="163"/>
      <c r="J34" s="164"/>
      <c r="K34" s="117"/>
    </row>
    <row r="35" spans="1:11" ht="14.25" customHeight="1">
      <c r="A35" s="165" t="s">
        <v>131</v>
      </c>
      <c r="B35" s="166">
        <f>B36+B38+B37</f>
        <v>9180000</v>
      </c>
      <c r="C35" s="166">
        <f>C36+C38</f>
        <v>6037000</v>
      </c>
      <c r="D35" s="166">
        <f>D36+D38</f>
        <v>6339000</v>
      </c>
      <c r="E35" s="166">
        <f>E36+E38+E37</f>
        <v>9572000</v>
      </c>
      <c r="F35" s="139"/>
      <c r="G35" s="140"/>
      <c r="H35" s="166">
        <f>H36+H38+H37</f>
        <v>10001000</v>
      </c>
      <c r="I35" s="141"/>
      <c r="J35" s="150">
        <f t="shared" ref="J35:J46" si="1">SUM(B35:H35)</f>
        <v>41129000</v>
      </c>
      <c r="K35" s="117"/>
    </row>
    <row r="36" spans="1:11" ht="11.25" customHeight="1">
      <c r="A36" s="135" t="s">
        <v>128</v>
      </c>
      <c r="B36" s="167">
        <v>4650000</v>
      </c>
      <c r="C36" s="167">
        <v>3097000</v>
      </c>
      <c r="D36" s="167">
        <v>3252000</v>
      </c>
      <c r="E36" s="143">
        <f>B36*1.045-250</f>
        <v>4859000</v>
      </c>
      <c r="F36" s="143">
        <f t="shared" ref="F36:F50" si="2">C36*1.045</f>
        <v>3236365</v>
      </c>
      <c r="G36" s="143">
        <f t="shared" ref="G36:G50" si="3">D36*1.045</f>
        <v>3398340</v>
      </c>
      <c r="H36" s="143">
        <f>E36*1.045-655</f>
        <v>5077000</v>
      </c>
      <c r="I36" s="149"/>
      <c r="J36" s="150">
        <f t="shared" si="1"/>
        <v>27569705</v>
      </c>
      <c r="K36" s="117"/>
    </row>
    <row r="37" spans="1:11" ht="11.25" customHeight="1">
      <c r="A37" s="135" t="s">
        <v>47</v>
      </c>
      <c r="B37" s="167">
        <v>80000</v>
      </c>
      <c r="C37" s="167">
        <v>0</v>
      </c>
      <c r="D37" s="167">
        <v>0</v>
      </c>
      <c r="E37" s="143">
        <f>B37*1.0405-240</f>
        <v>83000</v>
      </c>
      <c r="F37" s="143">
        <f t="shared" si="2"/>
        <v>0</v>
      </c>
      <c r="G37" s="143">
        <f t="shared" si="3"/>
        <v>0</v>
      </c>
      <c r="H37" s="143">
        <f>E37*1.045-735</f>
        <v>86000</v>
      </c>
      <c r="I37" s="149"/>
      <c r="J37" s="150">
        <f t="shared" si="1"/>
        <v>249000</v>
      </c>
      <c r="K37" s="117"/>
    </row>
    <row r="38" spans="1:11" ht="11.25" customHeight="1">
      <c r="A38" s="135" t="s">
        <v>129</v>
      </c>
      <c r="B38" s="167">
        <v>4450000</v>
      </c>
      <c r="C38" s="167">
        <v>2940000</v>
      </c>
      <c r="D38" s="167">
        <v>3087000</v>
      </c>
      <c r="E38" s="143">
        <f>B38*1.0405-225</f>
        <v>4630000</v>
      </c>
      <c r="F38" s="143">
        <f t="shared" si="2"/>
        <v>3072300</v>
      </c>
      <c r="G38" s="143">
        <f t="shared" si="3"/>
        <v>3225915</v>
      </c>
      <c r="H38" s="143">
        <f>E38*1.045-350</f>
        <v>4838000</v>
      </c>
      <c r="I38" s="149"/>
      <c r="J38" s="150">
        <f t="shared" si="1"/>
        <v>26243215</v>
      </c>
      <c r="K38" s="117"/>
    </row>
    <row r="39" spans="1:11" ht="11.25" customHeight="1">
      <c r="A39" s="135" t="s">
        <v>67</v>
      </c>
      <c r="B39" s="167">
        <f>B35-B37</f>
        <v>9100000</v>
      </c>
      <c r="C39" s="167">
        <f>C35</f>
        <v>6037000</v>
      </c>
      <c r="D39" s="167">
        <f>D35</f>
        <v>6339000</v>
      </c>
      <c r="E39" s="167">
        <f>E35-E37</f>
        <v>9489000</v>
      </c>
      <c r="F39" s="143">
        <f t="shared" si="2"/>
        <v>6308665</v>
      </c>
      <c r="G39" s="143">
        <f t="shared" si="3"/>
        <v>6624255</v>
      </c>
      <c r="H39" s="167">
        <f>H35-H37</f>
        <v>9915000</v>
      </c>
      <c r="I39" s="149"/>
      <c r="J39" s="150">
        <f t="shared" si="1"/>
        <v>53812920</v>
      </c>
      <c r="K39" s="117"/>
    </row>
    <row r="40" spans="1:11" ht="11.25" customHeight="1">
      <c r="A40" s="135" t="s">
        <v>132</v>
      </c>
      <c r="B40" s="168">
        <f>B41+B43+B44+B45+B46</f>
        <v>2460000</v>
      </c>
      <c r="C40" s="168"/>
      <c r="D40" s="168"/>
      <c r="E40" s="168">
        <f>E41+E43+E44+E45+E46</f>
        <v>2561250</v>
      </c>
      <c r="F40" s="143">
        <f t="shared" si="2"/>
        <v>0</v>
      </c>
      <c r="G40" s="143">
        <f t="shared" si="3"/>
        <v>0</v>
      </c>
      <c r="H40" s="168">
        <f>H41+H43+H44+H45+H46</f>
        <v>2674500</v>
      </c>
      <c r="I40" s="149"/>
      <c r="J40" s="150">
        <f t="shared" si="1"/>
        <v>7695750</v>
      </c>
      <c r="K40" s="117"/>
    </row>
    <row r="41" spans="1:11" ht="11.25" customHeight="1">
      <c r="A41" s="135" t="s">
        <v>51</v>
      </c>
      <c r="B41" s="168">
        <v>2100000</v>
      </c>
      <c r="C41" s="169">
        <f>SUM(C42:C47)</f>
        <v>1852000</v>
      </c>
      <c r="D41" s="169">
        <f>SUM(D42:D47)</f>
        <v>1946000</v>
      </c>
      <c r="E41" s="143">
        <f>B41*1.0405</f>
        <v>2185050</v>
      </c>
      <c r="F41" s="143">
        <f t="shared" si="2"/>
        <v>1935339.9999999998</v>
      </c>
      <c r="G41" s="143">
        <f t="shared" si="3"/>
        <v>2033569.9999999998</v>
      </c>
      <c r="H41" s="143">
        <f>E41*1.045-377.25</f>
        <v>2283000</v>
      </c>
      <c r="I41" s="149"/>
      <c r="J41" s="150">
        <f t="shared" si="1"/>
        <v>14334960</v>
      </c>
      <c r="K41" s="117"/>
    </row>
    <row r="42" spans="1:11" ht="11.25" customHeight="1">
      <c r="A42" s="135" t="s">
        <v>11</v>
      </c>
      <c r="B42" s="168">
        <v>0</v>
      </c>
      <c r="C42" s="168">
        <v>1852000</v>
      </c>
      <c r="D42" s="168">
        <v>1946000</v>
      </c>
      <c r="E42" s="143">
        <f>B42*1.045</f>
        <v>0</v>
      </c>
      <c r="F42" s="143">
        <f t="shared" si="2"/>
        <v>1935339.9999999998</v>
      </c>
      <c r="G42" s="143">
        <f t="shared" si="3"/>
        <v>2033569.9999999998</v>
      </c>
      <c r="H42" s="143">
        <v>0</v>
      </c>
      <c r="I42" s="149"/>
      <c r="J42" s="150">
        <f t="shared" si="1"/>
        <v>7766910</v>
      </c>
      <c r="K42" s="117"/>
    </row>
    <row r="43" spans="1:11" ht="11.25" customHeight="1">
      <c r="A43" s="135" t="s">
        <v>48</v>
      </c>
      <c r="B43" s="168">
        <v>80000</v>
      </c>
      <c r="C43" s="168"/>
      <c r="D43" s="168"/>
      <c r="E43" s="143">
        <f>B43*1.045</f>
        <v>83600</v>
      </c>
      <c r="F43" s="143">
        <f t="shared" si="2"/>
        <v>0</v>
      </c>
      <c r="G43" s="143">
        <f t="shared" si="3"/>
        <v>0</v>
      </c>
      <c r="H43" s="143">
        <f>E43*1.045-862</f>
        <v>86500</v>
      </c>
      <c r="I43" s="149"/>
      <c r="J43" s="150">
        <f t="shared" si="1"/>
        <v>250100</v>
      </c>
      <c r="K43" s="117"/>
    </row>
    <row r="44" spans="1:11" ht="11.25" customHeight="1">
      <c r="A44" s="135" t="s">
        <v>49</v>
      </c>
      <c r="B44" s="168"/>
      <c r="C44" s="168"/>
      <c r="D44" s="168"/>
      <c r="E44" s="143">
        <f t="shared" ref="E44:E49" si="4">B44*1.045</f>
        <v>0</v>
      </c>
      <c r="F44" s="143">
        <f t="shared" si="2"/>
        <v>0</v>
      </c>
      <c r="G44" s="143">
        <f t="shared" si="3"/>
        <v>0</v>
      </c>
      <c r="H44" s="143">
        <f t="shared" ref="H44:H50" si="5">E44*1.045</f>
        <v>0</v>
      </c>
      <c r="I44" s="149"/>
      <c r="J44" s="150">
        <f t="shared" si="1"/>
        <v>0</v>
      </c>
      <c r="K44" s="117"/>
    </row>
    <row r="45" spans="1:11" ht="11.25" customHeight="1">
      <c r="A45" s="135" t="s">
        <v>50</v>
      </c>
      <c r="B45" s="168"/>
      <c r="C45" s="168"/>
      <c r="D45" s="168"/>
      <c r="E45" s="143">
        <f t="shared" si="4"/>
        <v>0</v>
      </c>
      <c r="F45" s="143">
        <f t="shared" si="2"/>
        <v>0</v>
      </c>
      <c r="G45" s="143">
        <f t="shared" si="3"/>
        <v>0</v>
      </c>
      <c r="H45" s="143">
        <f t="shared" si="5"/>
        <v>0</v>
      </c>
      <c r="I45" s="149"/>
      <c r="J45" s="150">
        <f t="shared" si="1"/>
        <v>0</v>
      </c>
      <c r="K45" s="117"/>
    </row>
    <row r="46" spans="1:11" ht="11.25" customHeight="1">
      <c r="A46" s="135" t="s">
        <v>52</v>
      </c>
      <c r="B46" s="168">
        <v>280000</v>
      </c>
      <c r="C46" s="168"/>
      <c r="D46" s="168"/>
      <c r="E46" s="143">
        <f>B46*1.045</f>
        <v>292600</v>
      </c>
      <c r="F46" s="143">
        <f t="shared" si="2"/>
        <v>0</v>
      </c>
      <c r="G46" s="143">
        <f t="shared" si="3"/>
        <v>0</v>
      </c>
      <c r="H46" s="143">
        <f>E46*1.045-767</f>
        <v>305000</v>
      </c>
      <c r="I46" s="149"/>
      <c r="J46" s="150">
        <f t="shared" si="1"/>
        <v>877600</v>
      </c>
      <c r="K46" s="117"/>
    </row>
    <row r="47" spans="1:11" ht="11.25" customHeight="1">
      <c r="A47" s="135" t="s">
        <v>68</v>
      </c>
      <c r="B47" s="168">
        <f>B40-B43-B45-B46</f>
        <v>2100000</v>
      </c>
      <c r="C47" s="168"/>
      <c r="D47" s="168"/>
      <c r="E47" s="168">
        <f>E40-E43-E45-E46</f>
        <v>2185050</v>
      </c>
      <c r="F47" s="143">
        <f t="shared" si="2"/>
        <v>0</v>
      </c>
      <c r="G47" s="143">
        <f t="shared" si="3"/>
        <v>0</v>
      </c>
      <c r="H47" s="168">
        <f>H40-H43-H45-H46</f>
        <v>2283000</v>
      </c>
      <c r="I47" s="149"/>
      <c r="J47" s="150"/>
      <c r="K47" s="117"/>
    </row>
    <row r="48" spans="1:11" ht="11.25" customHeight="1">
      <c r="A48" s="135" t="s">
        <v>133</v>
      </c>
      <c r="B48" s="168">
        <v>121000</v>
      </c>
      <c r="C48" s="168"/>
      <c r="D48" s="168"/>
      <c r="E48" s="143">
        <v>104650</v>
      </c>
      <c r="F48" s="143">
        <f t="shared" si="2"/>
        <v>0</v>
      </c>
      <c r="G48" s="143">
        <f t="shared" si="3"/>
        <v>0</v>
      </c>
      <c r="H48" s="143">
        <f>104650*1.045-359.25</f>
        <v>108999.99999999999</v>
      </c>
      <c r="I48" s="149"/>
      <c r="J48" s="150">
        <f>SUM(B48:H48)</f>
        <v>334650</v>
      </c>
      <c r="K48" s="117"/>
    </row>
    <row r="49" spans="1:11" ht="12.75" customHeight="1">
      <c r="A49" s="135" t="s">
        <v>53</v>
      </c>
      <c r="B49" s="152"/>
      <c r="C49" s="153"/>
      <c r="D49" s="154"/>
      <c r="E49" s="143">
        <f t="shared" si="4"/>
        <v>0</v>
      </c>
      <c r="F49" s="143">
        <f t="shared" si="2"/>
        <v>0</v>
      </c>
      <c r="G49" s="143">
        <f t="shared" si="3"/>
        <v>0</v>
      </c>
      <c r="H49" s="143">
        <f t="shared" si="5"/>
        <v>0</v>
      </c>
      <c r="I49" s="157"/>
      <c r="J49" s="150">
        <f>SUM(B49:H49)</f>
        <v>0</v>
      </c>
      <c r="K49" s="117"/>
    </row>
    <row r="50" spans="1:11" ht="12.75" customHeight="1" thickBot="1">
      <c r="A50" s="135" t="s">
        <v>388</v>
      </c>
      <c r="B50" s="170">
        <v>305000</v>
      </c>
      <c r="C50" s="171"/>
      <c r="D50" s="171"/>
      <c r="E50" s="143"/>
      <c r="F50" s="143">
        <f t="shared" si="2"/>
        <v>0</v>
      </c>
      <c r="G50" s="143">
        <f t="shared" si="3"/>
        <v>0</v>
      </c>
      <c r="H50" s="143">
        <f t="shared" si="5"/>
        <v>0</v>
      </c>
      <c r="I50" s="171"/>
      <c r="J50" s="150"/>
      <c r="K50" s="117"/>
    </row>
    <row r="51" spans="1:11" ht="13.5" customHeight="1" thickBot="1">
      <c r="A51" s="172" t="s">
        <v>69</v>
      </c>
      <c r="B51" s="159">
        <f>B39+B47+B48+B49</f>
        <v>11321000</v>
      </c>
      <c r="C51" s="159"/>
      <c r="D51" s="159"/>
      <c r="E51" s="159">
        <f>E39+E47+E48+E49</f>
        <v>11778700</v>
      </c>
      <c r="F51" s="159"/>
      <c r="G51" s="159"/>
      <c r="H51" s="159">
        <f>H39+H47+H48+H49</f>
        <v>12307000</v>
      </c>
      <c r="I51" s="159">
        <f>I39+I47+I48+I49</f>
        <v>0</v>
      </c>
      <c r="J51" s="159">
        <f>J48+J41+J35</f>
        <v>55798610</v>
      </c>
      <c r="K51" s="117"/>
    </row>
    <row r="52" spans="1:11" ht="13.5" customHeight="1" thickBot="1">
      <c r="A52" s="173" t="s">
        <v>8</v>
      </c>
      <c r="B52" s="174">
        <f>(B51-B33)*-1</f>
        <v>627000</v>
      </c>
      <c r="C52" s="175"/>
      <c r="D52" s="176"/>
      <c r="E52" s="175">
        <f>(E51-E33)*-1</f>
        <v>658300</v>
      </c>
      <c r="F52" s="175"/>
      <c r="G52" s="177"/>
      <c r="H52" s="175">
        <f>(H51-H33)*-1</f>
        <v>624000</v>
      </c>
      <c r="I52" s="175"/>
      <c r="J52" s="178"/>
      <c r="K52" s="117"/>
    </row>
    <row r="53" spans="1:11" ht="11.25" customHeight="1">
      <c r="J53" s="14"/>
    </row>
    <row r="54" spans="1:11" ht="11.25" customHeight="1">
      <c r="A54" s="54" t="s">
        <v>392</v>
      </c>
      <c r="J54" s="14"/>
    </row>
    <row r="55" spans="1:11" ht="55.5" customHeight="1">
      <c r="A55" s="549" t="s">
        <v>601</v>
      </c>
      <c r="B55" s="549"/>
      <c r="C55" s="549"/>
      <c r="D55" s="549"/>
      <c r="E55" s="549"/>
      <c r="F55" s="549"/>
      <c r="G55" s="549"/>
      <c r="H55" s="549"/>
      <c r="I55" s="549"/>
      <c r="J55" s="549"/>
    </row>
    <row r="56" spans="1:11" ht="36.75" customHeight="1">
      <c r="A56" s="550" t="s">
        <v>602</v>
      </c>
      <c r="B56" s="550"/>
      <c r="C56" s="550"/>
      <c r="D56" s="550"/>
      <c r="E56" s="550"/>
      <c r="F56" s="550"/>
      <c r="G56" s="550"/>
      <c r="H56" s="550"/>
      <c r="I56" s="550"/>
      <c r="J56" s="550"/>
    </row>
    <row r="57" spans="1:11" ht="49.5" customHeight="1">
      <c r="A57" s="550" t="s">
        <v>569</v>
      </c>
      <c r="B57" s="550"/>
      <c r="C57" s="550"/>
      <c r="D57" s="550"/>
      <c r="E57" s="550"/>
      <c r="F57" s="550"/>
      <c r="G57" s="550"/>
      <c r="H57" s="550"/>
      <c r="I57" s="550"/>
      <c r="J57" s="550"/>
    </row>
    <row r="58" spans="1:11" ht="78.75" customHeight="1">
      <c r="A58" s="549" t="s">
        <v>603</v>
      </c>
      <c r="B58" s="549"/>
      <c r="C58" s="549"/>
      <c r="D58" s="549"/>
      <c r="E58" s="549"/>
      <c r="F58" s="549"/>
      <c r="G58" s="549"/>
      <c r="H58" s="549"/>
      <c r="I58" s="549"/>
      <c r="J58" s="549"/>
    </row>
    <row r="59" spans="1:11" ht="11.25" customHeight="1">
      <c r="A59" s="549"/>
      <c r="B59" s="549"/>
      <c r="C59" s="549"/>
      <c r="D59" s="549"/>
      <c r="J59" s="14"/>
    </row>
    <row r="60" spans="1:11" ht="11.25" customHeight="1">
      <c r="A60" s="179"/>
      <c r="B60" s="180"/>
      <c r="C60" s="179"/>
      <c r="D60" s="179"/>
      <c r="J60" s="14"/>
    </row>
    <row r="61" spans="1:11" ht="11.25" customHeight="1">
      <c r="A61" s="181" t="s">
        <v>632</v>
      </c>
      <c r="B61" s="181"/>
      <c r="C61" s="182"/>
      <c r="D61" s="182"/>
      <c r="J61" s="14"/>
    </row>
    <row r="62" spans="1:11" ht="11.25" customHeight="1">
      <c r="A62" s="181"/>
      <c r="B62" s="181"/>
      <c r="C62" s="182"/>
      <c r="D62" s="183"/>
      <c r="J62" s="14"/>
    </row>
    <row r="63" spans="1:11" ht="11.25" customHeight="1">
      <c r="A63" s="181"/>
      <c r="B63" s="181"/>
      <c r="C63" s="182"/>
      <c r="D63" s="183"/>
      <c r="J63" s="14"/>
    </row>
    <row r="64" spans="1:11" ht="11.25" customHeight="1">
      <c r="A64" s="181"/>
      <c r="B64" s="181"/>
      <c r="C64" s="182"/>
      <c r="D64" s="183"/>
      <c r="J64" s="14"/>
    </row>
    <row r="65" spans="1:10" ht="11.25" customHeight="1">
      <c r="A65" s="183" t="s">
        <v>391</v>
      </c>
      <c r="B65" s="182" t="s">
        <v>604</v>
      </c>
      <c r="C65" s="182"/>
      <c r="D65" s="183"/>
      <c r="J65" s="14"/>
    </row>
    <row r="66" spans="1:10" ht="11.25" customHeight="1">
      <c r="A66" s="181" t="s">
        <v>389</v>
      </c>
      <c r="B66" s="184" t="s">
        <v>390</v>
      </c>
      <c r="C66" s="184"/>
      <c r="D66" s="181"/>
      <c r="J66" s="14"/>
    </row>
    <row r="67" spans="1:10" ht="11.25" customHeight="1">
      <c r="J67" s="14"/>
    </row>
    <row r="68" spans="1:10" ht="11.25" customHeight="1">
      <c r="J68" s="14"/>
    </row>
    <row r="69" spans="1:10" ht="11.25" customHeight="1">
      <c r="J69" s="14"/>
    </row>
    <row r="70" spans="1:10" ht="11.25" customHeight="1">
      <c r="J70" s="14"/>
    </row>
    <row r="71" spans="1:10" ht="11.25" customHeight="1">
      <c r="J71" s="14"/>
    </row>
    <row r="72" spans="1:10" ht="11.25" customHeight="1">
      <c r="J72" s="14"/>
    </row>
    <row r="73" spans="1:10" ht="11.25" customHeight="1">
      <c r="J73" s="14"/>
    </row>
    <row r="74" spans="1:10" ht="11.25" customHeight="1">
      <c r="J74" s="14"/>
    </row>
    <row r="75" spans="1:10" ht="11.25" customHeight="1">
      <c r="J75" s="14"/>
    </row>
  </sheetData>
  <mergeCells count="10">
    <mergeCell ref="A2:J2"/>
    <mergeCell ref="A1:J1"/>
    <mergeCell ref="A5:J5"/>
    <mergeCell ref="A4:J4"/>
    <mergeCell ref="A59:D59"/>
    <mergeCell ref="A55:J55"/>
    <mergeCell ref="A56:J56"/>
    <mergeCell ref="A58:J58"/>
    <mergeCell ref="A57:J57"/>
    <mergeCell ref="A3:J3"/>
  </mergeCells>
  <phoneticPr fontId="4" type="noConversion"/>
  <printOptions horizontalCentered="1"/>
  <pageMargins left="0.78740157480314965" right="0.78740157480314965" top="0.59055118110236227" bottom="0.39370078740157483" header="0" footer="0.19685039370078741"/>
  <pageSetup paperSize="9" scale="77" orientation="portrait" r:id="rId1"/>
  <headerFooter alignWithMargins="0">
    <oddHeader xml:space="preserve">&amp;L&amp;"Times New Roman,Normal"&amp;12ESTADO DO RIO GRANDE DO SUL
PREFEITURA MUNICIPAL DE BOA VISTA DO CADEADO
</oddHeader>
  </headerFooter>
</worksheet>
</file>

<file path=xl/worksheets/sheet6.xml><?xml version="1.0" encoding="utf-8"?>
<worksheet xmlns="http://schemas.openxmlformats.org/spreadsheetml/2006/main" xmlns:r="http://schemas.openxmlformats.org/officeDocument/2006/relationships">
  <dimension ref="A1:J67"/>
  <sheetViews>
    <sheetView view="pageLayout" topLeftCell="A4" zoomScaleNormal="100" workbookViewId="0">
      <selection activeCell="A57" sqref="A57"/>
    </sheetView>
  </sheetViews>
  <sheetFormatPr defaultRowHeight="12.75"/>
  <cols>
    <col min="1" max="1" width="41.28515625" customWidth="1"/>
    <col min="2" max="4" width="13.7109375" customWidth="1"/>
    <col min="5" max="5" width="15.5703125" customWidth="1"/>
    <col min="6" max="6" width="14.7109375" customWidth="1"/>
  </cols>
  <sheetData>
    <row r="1" spans="1:6">
      <c r="A1" s="508" t="s">
        <v>247</v>
      </c>
      <c r="B1" s="508"/>
      <c r="C1" s="508"/>
      <c r="D1" s="508"/>
      <c r="E1" s="508"/>
      <c r="F1" s="508"/>
    </row>
    <row r="2" spans="1:6" s="55" customFormat="1">
      <c r="A2" s="553" t="s">
        <v>250</v>
      </c>
      <c r="B2" s="553"/>
      <c r="C2" s="553"/>
      <c r="D2" s="553"/>
      <c r="E2" s="553"/>
      <c r="F2" s="553"/>
    </row>
    <row r="3" spans="1:6">
      <c r="A3" s="179"/>
      <c r="B3" s="179"/>
      <c r="C3" s="179"/>
      <c r="D3" s="179"/>
      <c r="E3" s="179"/>
      <c r="F3" s="179"/>
    </row>
    <row r="4" spans="1:6">
      <c r="A4" s="179"/>
      <c r="B4" s="208">
        <v>2011</v>
      </c>
      <c r="C4" s="208">
        <v>2012</v>
      </c>
      <c r="D4" s="208">
        <v>2013</v>
      </c>
      <c r="E4" s="208">
        <v>2014</v>
      </c>
      <c r="F4" s="208">
        <v>2015</v>
      </c>
    </row>
    <row r="5" spans="1:6">
      <c r="A5" s="209" t="s">
        <v>251</v>
      </c>
      <c r="B5" s="210"/>
      <c r="C5" s="211">
        <v>797954</v>
      </c>
      <c r="D5" s="211">
        <f>C8</f>
        <v>602994</v>
      </c>
      <c r="E5" s="211">
        <f>D8</f>
        <v>381719</v>
      </c>
      <c r="F5" s="211">
        <f>E8</f>
        <v>134130</v>
      </c>
    </row>
    <row r="6" spans="1:6">
      <c r="A6" s="209" t="s">
        <v>246</v>
      </c>
      <c r="B6" s="210"/>
      <c r="C6" s="212">
        <v>80040</v>
      </c>
      <c r="D6" s="212">
        <v>53725</v>
      </c>
      <c r="E6" s="212">
        <v>27411</v>
      </c>
      <c r="F6" s="212">
        <v>3870</v>
      </c>
    </row>
    <row r="7" spans="1:6">
      <c r="A7" s="209" t="s">
        <v>155</v>
      </c>
      <c r="B7" s="210"/>
      <c r="C7" s="213">
        <v>275000</v>
      </c>
      <c r="D7" s="213">
        <v>275000</v>
      </c>
      <c r="E7" s="213">
        <v>275000</v>
      </c>
      <c r="F7" s="213">
        <v>138000</v>
      </c>
    </row>
    <row r="8" spans="1:6">
      <c r="A8" s="209" t="s">
        <v>214</v>
      </c>
      <c r="B8" s="214">
        <v>0</v>
      </c>
      <c r="C8" s="211">
        <f>C5+C6-C7</f>
        <v>602994</v>
      </c>
      <c r="D8" s="211">
        <f>D5+D6-D7</f>
        <v>381719</v>
      </c>
      <c r="E8" s="211">
        <f>E5+E6-E7</f>
        <v>134130</v>
      </c>
      <c r="F8" s="211">
        <f>F5+F6-F7</f>
        <v>0</v>
      </c>
    </row>
    <row r="9" spans="1:6">
      <c r="A9" s="209" t="s">
        <v>219</v>
      </c>
      <c r="B9" s="215"/>
      <c r="C9" s="214">
        <v>11753000</v>
      </c>
      <c r="D9" s="214">
        <v>10007000</v>
      </c>
      <c r="E9" s="214">
        <v>10465000</v>
      </c>
      <c r="F9" s="214">
        <v>9431300</v>
      </c>
    </row>
    <row r="10" spans="1:6">
      <c r="A10" s="209" t="s">
        <v>227</v>
      </c>
      <c r="B10" s="215"/>
      <c r="C10" s="214">
        <f>C11+C12+C13</f>
        <v>13036220</v>
      </c>
      <c r="D10" s="214">
        <f>D11+D12+D13</f>
        <v>10331635</v>
      </c>
      <c r="E10" s="214">
        <f>E11+E12+E13</f>
        <v>10360350</v>
      </c>
      <c r="F10" s="214">
        <f>F11+F12+F13</f>
        <v>9405000</v>
      </c>
    </row>
    <row r="11" spans="1:6">
      <c r="A11" s="216" t="s">
        <v>222</v>
      </c>
      <c r="B11" s="215"/>
      <c r="C11" s="214">
        <v>10889000</v>
      </c>
      <c r="D11" s="214">
        <v>9906930</v>
      </c>
      <c r="E11" s="214">
        <v>10360350</v>
      </c>
      <c r="F11" s="214">
        <v>9405000</v>
      </c>
    </row>
    <row r="12" spans="1:6">
      <c r="A12" s="217" t="s">
        <v>223</v>
      </c>
      <c r="B12" s="215"/>
      <c r="C12" s="214">
        <v>2147220</v>
      </c>
      <c r="D12" s="214">
        <v>424705</v>
      </c>
      <c r="E12" s="214"/>
      <c r="F12" s="214"/>
    </row>
    <row r="13" spans="1:6">
      <c r="A13" s="217" t="s">
        <v>224</v>
      </c>
      <c r="B13" s="215"/>
      <c r="C13" s="214">
        <v>0</v>
      </c>
      <c r="D13" s="214"/>
      <c r="E13" s="214"/>
      <c r="F13" s="214"/>
    </row>
    <row r="14" spans="1:6">
      <c r="A14" s="209" t="s">
        <v>226</v>
      </c>
      <c r="B14" s="214">
        <v>2877450</v>
      </c>
      <c r="C14" s="215"/>
      <c r="D14" s="215"/>
      <c r="E14" s="215"/>
      <c r="F14" s="215"/>
    </row>
    <row r="15" spans="1:6">
      <c r="A15" s="209" t="s">
        <v>225</v>
      </c>
      <c r="B15" s="214">
        <v>420419</v>
      </c>
      <c r="C15" s="215"/>
      <c r="D15" s="215"/>
      <c r="E15" s="215"/>
      <c r="F15" s="215"/>
    </row>
    <row r="16" spans="1:6">
      <c r="A16" s="209" t="s">
        <v>217</v>
      </c>
      <c r="B16" s="211">
        <f>B14-B15</f>
        <v>2457031</v>
      </c>
      <c r="C16" s="211">
        <f>B16+C9-C10</f>
        <v>1173811</v>
      </c>
      <c r="D16" s="211">
        <f>C16+D9-D10</f>
        <v>849176</v>
      </c>
      <c r="E16" s="211">
        <f>D16+E9-E10</f>
        <v>953826</v>
      </c>
      <c r="F16" s="211">
        <f>E16+F9-F10</f>
        <v>980126</v>
      </c>
    </row>
    <row r="17" spans="1:6">
      <c r="A17" s="209" t="s">
        <v>218</v>
      </c>
      <c r="B17" s="211">
        <f>B8-(B16)</f>
        <v>-2457031</v>
      </c>
      <c r="C17" s="211">
        <f>C8-C16</f>
        <v>-570817</v>
      </c>
      <c r="D17" s="211">
        <f>D8-D16</f>
        <v>-467457</v>
      </c>
      <c r="E17" s="211">
        <f>E8-E16</f>
        <v>-819696</v>
      </c>
      <c r="F17" s="211">
        <f>F8-F16</f>
        <v>-980126</v>
      </c>
    </row>
    <row r="18" spans="1:6">
      <c r="A18" s="218" t="s">
        <v>12</v>
      </c>
      <c r="B18" s="211"/>
      <c r="C18" s="211">
        <f>C17-B17</f>
        <v>1886214</v>
      </c>
      <c r="D18" s="211">
        <f>D17-C17</f>
        <v>103360</v>
      </c>
      <c r="E18" s="211">
        <f>E17-D17</f>
        <v>-352239</v>
      </c>
      <c r="F18" s="211">
        <f>F17-E17</f>
        <v>-160430</v>
      </c>
    </row>
    <row r="19" spans="1:6">
      <c r="A19" s="179"/>
      <c r="B19" s="179"/>
      <c r="C19" s="179"/>
      <c r="D19" s="179"/>
      <c r="E19" s="179"/>
      <c r="F19" s="179"/>
    </row>
    <row r="20" spans="1:6" s="56" customFormat="1" hidden="1">
      <c r="A20" s="219" t="s">
        <v>156</v>
      </c>
      <c r="B20" s="219"/>
      <c r="C20" s="219"/>
      <c r="D20" s="219"/>
      <c r="E20" s="219"/>
      <c r="F20" s="219"/>
    </row>
    <row r="21" spans="1:6" hidden="1">
      <c r="A21" s="179"/>
      <c r="B21" s="179"/>
      <c r="C21" s="179"/>
      <c r="D21" s="179"/>
      <c r="E21" s="179"/>
      <c r="F21" s="179"/>
    </row>
    <row r="22" spans="1:6" hidden="1">
      <c r="A22" s="179"/>
      <c r="B22" s="208">
        <v>2008</v>
      </c>
      <c r="C22" s="208">
        <v>2009</v>
      </c>
      <c r="D22" s="208">
        <v>2010</v>
      </c>
      <c r="E22" s="208">
        <v>2011</v>
      </c>
      <c r="F22" s="208">
        <v>2012</v>
      </c>
    </row>
    <row r="23" spans="1:6" hidden="1">
      <c r="A23" s="209" t="s">
        <v>213</v>
      </c>
      <c r="B23" s="210"/>
      <c r="C23" s="211">
        <f>B26</f>
        <v>0</v>
      </c>
      <c r="D23" s="211">
        <f>C26</f>
        <v>0</v>
      </c>
      <c r="E23" s="211">
        <f>D26</f>
        <v>0</v>
      </c>
      <c r="F23" s="211">
        <f>E26</f>
        <v>0</v>
      </c>
    </row>
    <row r="24" spans="1:6" hidden="1">
      <c r="A24" s="209" t="s">
        <v>154</v>
      </c>
      <c r="B24" s="210"/>
      <c r="C24" s="212">
        <v>0</v>
      </c>
      <c r="D24" s="212">
        <v>0</v>
      </c>
      <c r="E24" s="212">
        <v>0</v>
      </c>
      <c r="F24" s="212">
        <v>0</v>
      </c>
    </row>
    <row r="25" spans="1:6" hidden="1">
      <c r="A25" s="209" t="s">
        <v>155</v>
      </c>
      <c r="B25" s="210"/>
      <c r="C25" s="213"/>
      <c r="D25" s="213"/>
      <c r="E25" s="213"/>
      <c r="F25" s="213"/>
    </row>
    <row r="26" spans="1:6" hidden="1">
      <c r="A26" s="209" t="s">
        <v>214</v>
      </c>
      <c r="B26" s="214"/>
      <c r="C26" s="211">
        <f>C23+C24-C25</f>
        <v>0</v>
      </c>
      <c r="D26" s="211">
        <f>D23+D24-D25</f>
        <v>0</v>
      </c>
      <c r="E26" s="211">
        <f>E23+E24-E25</f>
        <v>0</v>
      </c>
      <c r="F26" s="211">
        <f>F23+F24-F25</f>
        <v>0</v>
      </c>
    </row>
    <row r="27" spans="1:6" hidden="1">
      <c r="A27" s="209" t="s">
        <v>219</v>
      </c>
      <c r="B27" s="215"/>
      <c r="C27" s="214"/>
      <c r="D27" s="214"/>
      <c r="E27" s="214"/>
      <c r="F27" s="214"/>
    </row>
    <row r="28" spans="1:6" hidden="1">
      <c r="A28" s="209" t="s">
        <v>220</v>
      </c>
      <c r="B28" s="215"/>
      <c r="C28" s="214"/>
      <c r="D28" s="214"/>
      <c r="E28" s="214"/>
      <c r="F28" s="214"/>
    </row>
    <row r="29" spans="1:6" hidden="1">
      <c r="A29" s="209" t="s">
        <v>221</v>
      </c>
      <c r="B29" s="215"/>
      <c r="C29" s="214"/>
      <c r="D29" s="214"/>
      <c r="E29" s="214"/>
      <c r="F29" s="214"/>
    </row>
    <row r="30" spans="1:6" hidden="1">
      <c r="A30" s="209" t="s">
        <v>216</v>
      </c>
      <c r="B30" s="214"/>
      <c r="C30" s="215"/>
      <c r="D30" s="215"/>
      <c r="E30" s="215"/>
      <c r="F30" s="215"/>
    </row>
    <row r="31" spans="1:6" hidden="1">
      <c r="A31" s="209" t="s">
        <v>215</v>
      </c>
      <c r="B31" s="214"/>
      <c r="C31" s="215"/>
      <c r="D31" s="215"/>
      <c r="E31" s="215"/>
      <c r="F31" s="215"/>
    </row>
    <row r="32" spans="1:6" hidden="1">
      <c r="A32" s="209" t="s">
        <v>217</v>
      </c>
      <c r="B32" s="211">
        <f>B30-B31</f>
        <v>0</v>
      </c>
      <c r="C32" s="211">
        <f>B32+C27-C28-C29</f>
        <v>0</v>
      </c>
      <c r="D32" s="211">
        <f>C32+D27-D28-D29</f>
        <v>0</v>
      </c>
      <c r="E32" s="211">
        <f>D32+E27-E28-E29</f>
        <v>0</v>
      </c>
      <c r="F32" s="211">
        <f>E32+F27-F28-F29</f>
        <v>0</v>
      </c>
    </row>
    <row r="33" spans="1:6" hidden="1">
      <c r="A33" s="209" t="s">
        <v>218</v>
      </c>
      <c r="B33" s="211">
        <f>B26-(B32)</f>
        <v>0</v>
      </c>
      <c r="C33" s="211">
        <f>C26-C32</f>
        <v>0</v>
      </c>
      <c r="D33" s="211">
        <f>D26-D32</f>
        <v>0</v>
      </c>
      <c r="E33" s="211">
        <f>E26-E32</f>
        <v>0</v>
      </c>
      <c r="F33" s="211">
        <f>F26-F32</f>
        <v>0</v>
      </c>
    </row>
    <row r="34" spans="1:6" hidden="1">
      <c r="A34" s="218" t="s">
        <v>12</v>
      </c>
      <c r="B34" s="211"/>
      <c r="C34" s="211">
        <f>C33-B33</f>
        <v>0</v>
      </c>
      <c r="D34" s="211">
        <f>D33-C33</f>
        <v>0</v>
      </c>
      <c r="E34" s="211">
        <f>E33-D33</f>
        <v>0</v>
      </c>
      <c r="F34" s="211">
        <f>F33-E33</f>
        <v>0</v>
      </c>
    </row>
    <row r="35" spans="1:6" hidden="1">
      <c r="A35" s="179"/>
      <c r="B35" s="179"/>
      <c r="C35" s="179"/>
      <c r="D35" s="179"/>
      <c r="E35" s="179"/>
      <c r="F35" s="179"/>
    </row>
    <row r="36" spans="1:6" hidden="1">
      <c r="A36" s="179"/>
      <c r="B36" s="179"/>
      <c r="C36" s="179"/>
      <c r="D36" s="179"/>
      <c r="E36" s="179"/>
      <c r="F36" s="179"/>
    </row>
    <row r="37" spans="1:6" hidden="1">
      <c r="A37" s="179"/>
      <c r="B37" s="179"/>
      <c r="C37" s="179"/>
      <c r="D37" s="179"/>
      <c r="E37" s="179"/>
      <c r="F37" s="179"/>
    </row>
    <row r="38" spans="1:6" hidden="1">
      <c r="A38" s="179"/>
      <c r="B38" s="179"/>
      <c r="C38" s="179"/>
      <c r="D38" s="179"/>
      <c r="E38" s="179"/>
      <c r="F38" s="179"/>
    </row>
    <row r="39" spans="1:6" hidden="1">
      <c r="A39" s="179"/>
      <c r="B39" s="179"/>
      <c r="C39" s="179"/>
      <c r="D39" s="179"/>
      <c r="E39" s="179"/>
      <c r="F39" s="179"/>
    </row>
    <row r="40" spans="1:6" hidden="1">
      <c r="A40" s="179"/>
      <c r="B40" s="179"/>
      <c r="C40" s="179"/>
      <c r="D40" s="179"/>
      <c r="E40" s="179"/>
      <c r="F40" s="179"/>
    </row>
    <row r="41" spans="1:6" hidden="1">
      <c r="A41" s="179"/>
      <c r="B41" s="179"/>
      <c r="C41" s="179"/>
      <c r="D41" s="179"/>
      <c r="E41" s="179"/>
      <c r="F41" s="179"/>
    </row>
    <row r="42" spans="1:6" hidden="1">
      <c r="A42" s="179"/>
      <c r="B42" s="179"/>
      <c r="C42" s="179"/>
      <c r="D42" s="179"/>
      <c r="E42" s="179"/>
      <c r="F42" s="179"/>
    </row>
    <row r="43" spans="1:6" hidden="1">
      <c r="A43" s="179"/>
      <c r="B43" s="179"/>
      <c r="C43" s="179"/>
      <c r="D43" s="179"/>
      <c r="E43" s="179"/>
      <c r="F43" s="179"/>
    </row>
    <row r="44" spans="1:6" hidden="1">
      <c r="A44" s="179" t="s">
        <v>255</v>
      </c>
      <c r="B44" s="179"/>
      <c r="C44" s="179"/>
      <c r="D44" s="179"/>
      <c r="E44" s="179"/>
      <c r="F44" s="179"/>
    </row>
    <row r="45" spans="1:6" hidden="1">
      <c r="A45" s="179"/>
      <c r="B45" s="179"/>
      <c r="C45" s="179"/>
      <c r="D45" s="179"/>
      <c r="E45" s="179"/>
      <c r="F45" s="179"/>
    </row>
    <row r="46" spans="1:6" hidden="1">
      <c r="A46" s="179"/>
      <c r="B46" s="179"/>
      <c r="C46" s="179"/>
      <c r="D46" s="179"/>
      <c r="E46" s="179"/>
      <c r="F46" s="179"/>
    </row>
    <row r="47" spans="1:6" hidden="1">
      <c r="A47" s="179"/>
      <c r="B47" s="179"/>
      <c r="C47" s="179"/>
      <c r="D47" s="179"/>
      <c r="E47" s="179"/>
      <c r="F47" s="179"/>
    </row>
    <row r="48" spans="1:6" hidden="1">
      <c r="A48" s="179"/>
      <c r="B48" s="179"/>
      <c r="C48" s="179"/>
      <c r="D48" s="179"/>
      <c r="E48" s="179"/>
      <c r="F48" s="179"/>
    </row>
    <row r="49" spans="1:10" hidden="1">
      <c r="A49" s="179"/>
      <c r="B49" s="179"/>
      <c r="C49" s="179"/>
      <c r="D49" s="179"/>
      <c r="E49" s="179"/>
      <c r="F49" s="179"/>
    </row>
    <row r="50" spans="1:10" hidden="1">
      <c r="A50" s="179"/>
      <c r="B50" s="179"/>
      <c r="C50" s="179"/>
      <c r="D50" s="179"/>
      <c r="E50" s="179"/>
      <c r="F50" s="179"/>
    </row>
    <row r="51" spans="1:10" hidden="1">
      <c r="A51" s="179"/>
      <c r="B51" s="179"/>
      <c r="C51" s="179"/>
      <c r="D51" s="179"/>
      <c r="E51" s="179"/>
      <c r="F51" s="179"/>
    </row>
    <row r="52" spans="1:10">
      <c r="A52" s="179"/>
      <c r="B52" s="179"/>
      <c r="C52" s="179"/>
      <c r="D52" s="179"/>
      <c r="E52" s="179"/>
      <c r="F52" s="179"/>
    </row>
    <row r="53" spans="1:10">
      <c r="A53" s="179" t="s">
        <v>397</v>
      </c>
      <c r="B53" s="179"/>
      <c r="C53" s="179"/>
      <c r="D53" s="179"/>
      <c r="E53" s="179"/>
      <c r="F53" s="179"/>
    </row>
    <row r="54" spans="1:10" ht="108" customHeight="1">
      <c r="A54" s="554" t="s">
        <v>607</v>
      </c>
      <c r="B54" s="554"/>
      <c r="C54" s="554"/>
      <c r="D54" s="554"/>
      <c r="E54" s="554"/>
      <c r="F54" s="554"/>
    </row>
    <row r="55" spans="1:10">
      <c r="A55" s="179"/>
      <c r="B55" s="179"/>
      <c r="C55" s="179"/>
      <c r="D55" s="179"/>
      <c r="E55" s="179"/>
      <c r="F55" s="179"/>
    </row>
    <row r="56" spans="1:10">
      <c r="A56" s="181" t="s">
        <v>631</v>
      </c>
      <c r="B56" s="181"/>
      <c r="C56" s="182"/>
      <c r="D56" s="182"/>
      <c r="E56" s="12"/>
      <c r="F56" s="12"/>
      <c r="G56" s="12"/>
      <c r="H56" s="12"/>
      <c r="I56" s="12"/>
      <c r="J56" s="14"/>
    </row>
    <row r="57" spans="1:10">
      <c r="A57" s="181"/>
      <c r="B57" s="181"/>
      <c r="C57" s="182"/>
      <c r="D57" s="182"/>
      <c r="E57" s="12"/>
      <c r="F57" s="12"/>
      <c r="G57" s="12"/>
      <c r="H57" s="12"/>
      <c r="I57" s="12"/>
      <c r="J57" s="14"/>
    </row>
    <row r="58" spans="1:10">
      <c r="A58" s="181"/>
      <c r="B58" s="181"/>
      <c r="C58" s="182"/>
      <c r="D58" s="182"/>
      <c r="E58" s="12"/>
      <c r="F58" s="12"/>
      <c r="G58" s="12"/>
      <c r="H58" s="12"/>
      <c r="I58" s="12"/>
      <c r="J58" s="14"/>
    </row>
    <row r="59" spans="1:10">
      <c r="A59" s="181"/>
      <c r="B59" s="181"/>
      <c r="C59" s="182"/>
      <c r="D59" s="183"/>
      <c r="E59" s="12"/>
      <c r="F59" s="12"/>
      <c r="G59" s="12"/>
      <c r="H59" s="12"/>
      <c r="I59" s="12"/>
      <c r="J59" s="14"/>
    </row>
    <row r="60" spans="1:10">
      <c r="A60" s="183" t="s">
        <v>393</v>
      </c>
      <c r="B60" s="179" t="s">
        <v>395</v>
      </c>
      <c r="C60" s="182"/>
      <c r="D60" s="183"/>
      <c r="E60" s="182" t="s">
        <v>604</v>
      </c>
      <c r="F60" s="12"/>
      <c r="G60" s="12"/>
      <c r="H60" s="12"/>
      <c r="I60" s="12"/>
      <c r="J60" s="14"/>
    </row>
    <row r="61" spans="1:10">
      <c r="A61" s="181" t="s">
        <v>394</v>
      </c>
      <c r="B61" s="179" t="s">
        <v>396</v>
      </c>
      <c r="C61" s="184"/>
      <c r="D61" s="181"/>
      <c r="E61" s="184" t="s">
        <v>390</v>
      </c>
      <c r="F61" s="12"/>
      <c r="G61" s="12"/>
      <c r="H61" s="12"/>
      <c r="I61" s="12"/>
      <c r="J61" s="14"/>
    </row>
    <row r="62" spans="1:10">
      <c r="A62" s="12"/>
      <c r="B62" s="12"/>
      <c r="C62" s="12"/>
      <c r="D62" s="12"/>
      <c r="E62" s="12"/>
      <c r="F62" s="12"/>
      <c r="G62" s="12"/>
      <c r="H62" s="12"/>
      <c r="I62" s="12"/>
      <c r="J62" s="14"/>
    </row>
    <row r="63" spans="1:10">
      <c r="A63" s="12"/>
      <c r="B63" s="12"/>
      <c r="C63" s="12"/>
      <c r="D63" s="12"/>
      <c r="E63" s="12"/>
      <c r="F63" s="12"/>
      <c r="G63" s="12"/>
      <c r="H63" s="12"/>
      <c r="I63" s="12"/>
      <c r="J63" s="14"/>
    </row>
    <row r="64" spans="1:10">
      <c r="A64" s="12"/>
      <c r="B64" s="12"/>
      <c r="C64" s="12"/>
      <c r="D64" s="12"/>
      <c r="E64" s="12"/>
      <c r="F64" s="12"/>
      <c r="G64" s="12"/>
      <c r="H64" s="12"/>
      <c r="I64" s="12"/>
      <c r="J64" s="14"/>
    </row>
    <row r="65" spans="1:10">
      <c r="A65" s="12"/>
      <c r="B65" s="12"/>
      <c r="C65" s="12"/>
      <c r="D65" s="12"/>
      <c r="E65" s="12"/>
      <c r="F65" s="12"/>
      <c r="G65" s="12"/>
      <c r="H65" s="12"/>
      <c r="I65" s="12"/>
      <c r="J65" s="14"/>
    </row>
    <row r="66" spans="1:10">
      <c r="A66" s="12"/>
      <c r="B66" s="12"/>
      <c r="C66" s="12"/>
      <c r="D66" s="12"/>
      <c r="E66" s="12"/>
      <c r="F66" s="12"/>
      <c r="G66" s="12"/>
      <c r="H66" s="12"/>
      <c r="I66" s="12"/>
      <c r="J66" s="14"/>
    </row>
    <row r="67" spans="1:10">
      <c r="A67" s="12"/>
      <c r="B67" s="12"/>
      <c r="C67" s="12"/>
      <c r="D67" s="12"/>
      <c r="E67" s="12"/>
      <c r="F67" s="12"/>
      <c r="G67" s="12"/>
      <c r="H67" s="12"/>
      <c r="I67" s="12"/>
      <c r="J67" s="14"/>
    </row>
  </sheetData>
  <mergeCells count="3">
    <mergeCell ref="A1:F1"/>
    <mergeCell ref="A2:F2"/>
    <mergeCell ref="A54:F54"/>
  </mergeCells>
  <phoneticPr fontId="6" type="noConversion"/>
  <conditionalFormatting sqref="B32 B16">
    <cfRule type="cellIs" priority="1" stopIfTrue="1" operator="greaterThanOrEqual">
      <formula>0</formula>
    </cfRule>
  </conditionalFormatting>
  <dataValidations disablePrompts="1" count="2">
    <dataValidation type="whole" operator="greaterThanOrEqual" allowBlank="1" showInputMessage="1" showErrorMessage="1" sqref="B32 B16">
      <formula1>0</formula1>
    </dataValidation>
    <dataValidation operator="lessThanOrEqual" allowBlank="1" showErrorMessage="1" promptTitle="Valores Negativos!" prompt="Coloque os valores com &quot;-&quot; na frente para registrar os valores como negativos!" sqref="C24:F24 C6:F6"/>
  </dataValidations>
  <pageMargins left="0.59055118110236227" right="0.59055118110236227" top="1.03125" bottom="0.78740157480314965" header="0.51181102362204722" footer="0.51181102362204722"/>
  <pageSetup paperSize="9" orientation="landscape" verticalDpi="0" r:id="rId1"/>
  <headerFooter alignWithMargins="0">
    <oddHeader xml:space="preserve">&amp;LESTADO DO RIO GRANDE DO SUL
PREFEITURA MUNICIPAL DE BOA VISTA DO CADEADO
</oddHeader>
  </headerFooter>
</worksheet>
</file>

<file path=xl/worksheets/sheet7.xml><?xml version="1.0" encoding="utf-8"?>
<worksheet xmlns="http://schemas.openxmlformats.org/spreadsheetml/2006/main" xmlns:r="http://schemas.openxmlformats.org/officeDocument/2006/relationships">
  <sheetPr codeName="Plan15"/>
  <dimension ref="A1:H36"/>
  <sheetViews>
    <sheetView view="pageLayout" zoomScaleNormal="100" workbookViewId="0">
      <selection activeCell="A32" sqref="A32"/>
    </sheetView>
  </sheetViews>
  <sheetFormatPr defaultColWidth="25.7109375" defaultRowHeight="11.25" customHeight="1"/>
  <cols>
    <col min="1" max="1" width="28.85546875" style="220" customWidth="1"/>
    <col min="2" max="2" width="17.7109375" style="220" customWidth="1"/>
    <col min="3" max="3" width="14.28515625" style="220" customWidth="1"/>
    <col min="4" max="4" width="19.140625" style="220" customWidth="1"/>
    <col min="5" max="5" width="10.28515625" style="220" customWidth="1"/>
    <col min="6" max="6" width="13.28515625" style="220" customWidth="1"/>
    <col min="7" max="7" width="11" style="220" customWidth="1"/>
    <col min="8" max="16384" width="25.7109375" style="220"/>
  </cols>
  <sheetData>
    <row r="1" spans="1:8" ht="11.25" customHeight="1">
      <c r="B1" s="252"/>
      <c r="C1" s="252"/>
      <c r="D1" s="252"/>
      <c r="E1" s="252"/>
      <c r="F1" s="253"/>
      <c r="G1" s="253"/>
    </row>
    <row r="2" spans="1:8" ht="13.5" customHeight="1">
      <c r="A2" s="558" t="s">
        <v>81</v>
      </c>
      <c r="B2" s="558"/>
      <c r="C2" s="558"/>
      <c r="D2" s="558"/>
      <c r="E2" s="558"/>
      <c r="F2" s="558"/>
      <c r="G2" s="558"/>
      <c r="H2" s="254"/>
    </row>
    <row r="3" spans="1:8" ht="11.25" customHeight="1">
      <c r="A3" s="558" t="s">
        <v>136</v>
      </c>
      <c r="B3" s="558"/>
      <c r="C3" s="558"/>
      <c r="D3" s="558"/>
      <c r="E3" s="558"/>
      <c r="F3" s="558"/>
      <c r="G3" s="558"/>
      <c r="H3" s="254"/>
    </row>
    <row r="4" spans="1:8" ht="12.75" customHeight="1">
      <c r="A4" s="557" t="s">
        <v>249</v>
      </c>
      <c r="B4" s="547"/>
      <c r="C4" s="547"/>
      <c r="D4" s="547"/>
      <c r="E4" s="547"/>
      <c r="F4" s="547"/>
      <c r="G4" s="547"/>
      <c r="H4" s="254"/>
    </row>
    <row r="5" spans="1:8" ht="15" customHeight="1">
      <c r="A5" s="547" t="s">
        <v>248</v>
      </c>
      <c r="B5" s="547"/>
      <c r="C5" s="547"/>
      <c r="D5" s="547"/>
      <c r="E5" s="547"/>
      <c r="F5" s="547"/>
      <c r="G5" s="547"/>
      <c r="H5" s="254"/>
    </row>
    <row r="6" spans="1:8" ht="11.25" customHeight="1">
      <c r="A6" s="546">
        <v>2013</v>
      </c>
      <c r="B6" s="547"/>
      <c r="C6" s="547"/>
      <c r="D6" s="547"/>
      <c r="E6" s="547"/>
      <c r="F6" s="547"/>
      <c r="G6" s="547"/>
      <c r="H6" s="254"/>
    </row>
    <row r="7" spans="1:8" ht="11.25" customHeight="1">
      <c r="A7" s="255"/>
      <c r="B7" s="256"/>
      <c r="C7" s="256"/>
      <c r="D7" s="256"/>
      <c r="E7" s="256"/>
      <c r="F7" s="257"/>
      <c r="G7" s="257" t="s">
        <v>565</v>
      </c>
      <c r="H7" s="254"/>
    </row>
    <row r="8" spans="1:8" ht="11.25" customHeight="1">
      <c r="A8" s="255"/>
      <c r="B8" s="256"/>
      <c r="C8" s="256"/>
      <c r="D8" s="256"/>
      <c r="E8" s="256"/>
      <c r="F8" s="257"/>
      <c r="G8" s="257"/>
      <c r="H8" s="254"/>
    </row>
    <row r="9" spans="1:8" ht="9.75" customHeight="1">
      <c r="A9" s="255"/>
      <c r="B9" s="256"/>
      <c r="C9" s="256"/>
      <c r="D9" s="256"/>
      <c r="E9" s="256"/>
      <c r="F9" s="257"/>
      <c r="G9" s="257"/>
      <c r="H9" s="254"/>
    </row>
    <row r="10" spans="1:8" ht="13.5" customHeight="1">
      <c r="A10" s="255" t="s">
        <v>28</v>
      </c>
      <c r="B10" s="258"/>
      <c r="C10" s="258"/>
      <c r="D10" s="258"/>
      <c r="E10" s="258"/>
      <c r="F10" s="259"/>
      <c r="G10" s="257">
        <v>1</v>
      </c>
      <c r="H10" s="254"/>
    </row>
    <row r="11" spans="1:8" ht="11.25" customHeight="1">
      <c r="A11" s="560" t="s">
        <v>78</v>
      </c>
      <c r="B11" s="260" t="s">
        <v>1</v>
      </c>
      <c r="C11" s="563" t="s">
        <v>84</v>
      </c>
      <c r="D11" s="260" t="s">
        <v>2</v>
      </c>
      <c r="E11" s="563" t="s">
        <v>84</v>
      </c>
      <c r="F11" s="555" t="s">
        <v>3</v>
      </c>
      <c r="G11" s="556"/>
      <c r="H11" s="254"/>
    </row>
    <row r="12" spans="1:8" ht="11.25" customHeight="1">
      <c r="A12" s="561"/>
      <c r="B12" s="261">
        <v>2011</v>
      </c>
      <c r="C12" s="564"/>
      <c r="D12" s="261">
        <v>2011</v>
      </c>
      <c r="E12" s="564"/>
      <c r="F12" s="262" t="s">
        <v>83</v>
      </c>
      <c r="G12" s="263" t="s">
        <v>57</v>
      </c>
      <c r="H12" s="254"/>
    </row>
    <row r="13" spans="1:8" ht="11.25" customHeight="1">
      <c r="A13" s="562"/>
      <c r="B13" s="264" t="s">
        <v>58</v>
      </c>
      <c r="C13" s="565"/>
      <c r="D13" s="264" t="s">
        <v>59</v>
      </c>
      <c r="E13" s="565"/>
      <c r="F13" s="265" t="s">
        <v>4</v>
      </c>
      <c r="G13" s="266" t="s">
        <v>5</v>
      </c>
      <c r="H13" s="254"/>
    </row>
    <row r="14" spans="1:8" ht="11.25" customHeight="1">
      <c r="A14" s="267" t="s">
        <v>96</v>
      </c>
      <c r="B14" s="234">
        <v>8837000</v>
      </c>
      <c r="C14" s="268">
        <f>B14/264800000000*100</f>
        <v>3.3372356495468274E-3</v>
      </c>
      <c r="D14" s="269">
        <v>12718658.07</v>
      </c>
      <c r="E14" s="268">
        <f t="shared" ref="E14:E19" si="0">D14/264800000000*100</f>
        <v>4.8031186064954687E-3</v>
      </c>
      <c r="F14" s="270">
        <f t="shared" ref="F14:F21" si="1">D14-B14</f>
        <v>3881658.0700000003</v>
      </c>
      <c r="G14" s="273">
        <f>F14/D14*100</f>
        <v>30.519399520267161</v>
      </c>
      <c r="H14" s="254"/>
    </row>
    <row r="15" spans="1:8" ht="11.25" customHeight="1">
      <c r="A15" s="267" t="s">
        <v>97</v>
      </c>
      <c r="B15" s="234">
        <v>8837000</v>
      </c>
      <c r="C15" s="268">
        <f t="shared" ref="C15:C21" si="2">B15/264800000000*100</f>
        <v>3.3372356495468274E-3</v>
      </c>
      <c r="D15" s="269">
        <v>11266813.939999999</v>
      </c>
      <c r="E15" s="268">
        <f t="shared" si="0"/>
        <v>4.254839101208459E-3</v>
      </c>
      <c r="F15" s="270">
        <f t="shared" si="1"/>
        <v>2429813.9399999995</v>
      </c>
      <c r="G15" s="273">
        <f t="shared" ref="G15:G21" si="3">F15/D15*100</f>
        <v>21.566114013594863</v>
      </c>
      <c r="H15" s="254"/>
    </row>
    <row r="16" spans="1:8" ht="11.25" customHeight="1">
      <c r="A16" s="267" t="s">
        <v>98</v>
      </c>
      <c r="B16" s="234">
        <v>8900000</v>
      </c>
      <c r="C16" s="268">
        <f t="shared" si="2"/>
        <v>3.3610271903323262E-3</v>
      </c>
      <c r="D16" s="269">
        <v>12232502.01</v>
      </c>
      <c r="E16" s="268">
        <f t="shared" si="0"/>
        <v>4.6195249282477337E-3</v>
      </c>
      <c r="F16" s="270">
        <f t="shared" si="1"/>
        <v>3332502.01</v>
      </c>
      <c r="G16" s="273">
        <f t="shared" si="3"/>
        <v>27.243012159537749</v>
      </c>
      <c r="H16" s="254"/>
    </row>
    <row r="17" spans="1:8" ht="11.25" customHeight="1">
      <c r="A17" s="267" t="s">
        <v>91</v>
      </c>
      <c r="B17" s="234">
        <v>8900000</v>
      </c>
      <c r="C17" s="268">
        <f t="shared" si="2"/>
        <v>3.3610271903323262E-3</v>
      </c>
      <c r="D17" s="269">
        <f>10864870.86</f>
        <v>10864870.859999999</v>
      </c>
      <c r="E17" s="268">
        <f t="shared" si="0"/>
        <v>4.1030479078549851E-3</v>
      </c>
      <c r="F17" s="270">
        <f t="shared" si="1"/>
        <v>1964870.8599999994</v>
      </c>
      <c r="G17" s="273">
        <f t="shared" si="3"/>
        <v>18.084622314599695</v>
      </c>
      <c r="H17" s="254"/>
    </row>
    <row r="18" spans="1:8" ht="11.25" customHeight="1">
      <c r="A18" s="267" t="s">
        <v>92</v>
      </c>
      <c r="B18" s="234">
        <f>B15-B17</f>
        <v>-63000</v>
      </c>
      <c r="C18" s="268">
        <f t="shared" si="2"/>
        <v>-2.3791540785498487E-5</v>
      </c>
      <c r="D18" s="269">
        <v>1150874.1000000001</v>
      </c>
      <c r="E18" s="268">
        <f t="shared" si="0"/>
        <v>4.3462012839879153E-4</v>
      </c>
      <c r="F18" s="270">
        <f t="shared" si="1"/>
        <v>1213874.1000000001</v>
      </c>
      <c r="G18" s="273">
        <f t="shared" si="3"/>
        <v>105.47410007749762</v>
      </c>
      <c r="H18" s="254"/>
    </row>
    <row r="19" spans="1:8" ht="11.25" customHeight="1">
      <c r="A19" s="267" t="s">
        <v>12</v>
      </c>
      <c r="B19" s="234">
        <v>253900</v>
      </c>
      <c r="C19" s="268">
        <f t="shared" si="2"/>
        <v>9.5883685800604216E-5</v>
      </c>
      <c r="D19" s="269">
        <v>-394089.92</v>
      </c>
      <c r="E19" s="268">
        <f t="shared" si="0"/>
        <v>-1.4882549848942598E-4</v>
      </c>
      <c r="F19" s="270">
        <f t="shared" si="1"/>
        <v>-647989.91999999993</v>
      </c>
      <c r="G19" s="273">
        <f t="shared" si="3"/>
        <v>164.42692063780774</v>
      </c>
      <c r="H19" s="254"/>
    </row>
    <row r="20" spans="1:8" ht="11.25" customHeight="1">
      <c r="A20" s="267" t="s">
        <v>99</v>
      </c>
      <c r="B20" s="234">
        <v>0</v>
      </c>
      <c r="C20" s="268">
        <f t="shared" si="2"/>
        <v>0</v>
      </c>
      <c r="D20" s="269">
        <v>0</v>
      </c>
      <c r="E20" s="268">
        <f t="shared" ref="E20" si="4">D20/237859000000*100</f>
        <v>0</v>
      </c>
      <c r="F20" s="270">
        <f t="shared" si="1"/>
        <v>0</v>
      </c>
      <c r="G20" s="273">
        <v>0</v>
      </c>
      <c r="H20" s="254"/>
    </row>
    <row r="21" spans="1:8" ht="11.25" customHeight="1">
      <c r="A21" s="271" t="s">
        <v>100</v>
      </c>
      <c r="B21" s="236">
        <v>-26000</v>
      </c>
      <c r="C21" s="268">
        <f t="shared" si="2"/>
        <v>-9.8187311178247727E-6</v>
      </c>
      <c r="D21" s="272">
        <v>-1690920.62</v>
      </c>
      <c r="E21" s="268">
        <f>D21/264800000000*100</f>
        <v>-6.385651888217523E-4</v>
      </c>
      <c r="F21" s="270">
        <f t="shared" si="1"/>
        <v>-1664920.62</v>
      </c>
      <c r="G21" s="273">
        <f t="shared" si="3"/>
        <v>98.462376075347649</v>
      </c>
      <c r="H21" s="254"/>
    </row>
    <row r="22" spans="1:8" ht="11.25" customHeight="1">
      <c r="A22" s="559" t="s">
        <v>400</v>
      </c>
      <c r="B22" s="559"/>
      <c r="C22" s="559"/>
      <c r="D22" s="559"/>
      <c r="E22" s="559"/>
      <c r="F22" s="559"/>
      <c r="G22" s="559"/>
      <c r="H22" s="254"/>
    </row>
    <row r="23" spans="1:8" ht="11.25" customHeight="1">
      <c r="A23" s="254"/>
      <c r="B23" s="254"/>
      <c r="C23" s="254"/>
      <c r="D23" s="254"/>
      <c r="E23" s="254"/>
      <c r="F23" s="254"/>
      <c r="G23" s="254"/>
      <c r="H23" s="254"/>
    </row>
    <row r="24" spans="1:8" ht="11.25" customHeight="1">
      <c r="A24" s="254"/>
      <c r="B24" s="254"/>
      <c r="C24" s="254"/>
      <c r="D24" s="254"/>
      <c r="E24" s="254"/>
      <c r="F24" s="254"/>
      <c r="G24" s="254"/>
      <c r="H24" s="254"/>
    </row>
    <row r="25" spans="1:8" ht="11.25" customHeight="1">
      <c r="A25" s="502" t="s">
        <v>608</v>
      </c>
      <c r="B25" s="502"/>
      <c r="C25" s="502"/>
      <c r="D25" s="502"/>
      <c r="E25" s="502"/>
      <c r="F25" s="502"/>
      <c r="G25" s="502"/>
      <c r="H25" s="254"/>
    </row>
    <row r="26" spans="1:8" ht="11.25" customHeight="1">
      <c r="A26" s="502"/>
      <c r="B26" s="502"/>
      <c r="C26" s="502"/>
      <c r="D26" s="502"/>
      <c r="E26" s="502"/>
      <c r="F26" s="502"/>
      <c r="G26" s="502"/>
      <c r="H26" s="254"/>
    </row>
    <row r="27" spans="1:8" ht="11.25" customHeight="1">
      <c r="A27" s="502"/>
      <c r="B27" s="502"/>
      <c r="C27" s="502"/>
      <c r="D27" s="502"/>
      <c r="E27" s="502"/>
      <c r="F27" s="502"/>
      <c r="G27" s="502"/>
      <c r="H27" s="254"/>
    </row>
    <row r="28" spans="1:8" ht="44.25" customHeight="1">
      <c r="A28" s="502"/>
      <c r="B28" s="502"/>
      <c r="C28" s="502"/>
      <c r="D28" s="502"/>
      <c r="E28" s="502"/>
      <c r="F28" s="502"/>
      <c r="G28" s="502"/>
    </row>
    <row r="31" spans="1:8" ht="11.25" customHeight="1">
      <c r="A31" s="181" t="s">
        <v>632</v>
      </c>
      <c r="B31" s="181"/>
      <c r="C31" s="182"/>
      <c r="D31" s="182"/>
      <c r="E31" s="12"/>
      <c r="F31" s="12"/>
      <c r="G31" s="12"/>
      <c r="H31" s="12"/>
    </row>
    <row r="32" spans="1:8" ht="11.25" customHeight="1">
      <c r="A32" s="181"/>
      <c r="B32" s="181"/>
      <c r="C32" s="182"/>
      <c r="D32" s="182"/>
      <c r="E32" s="12"/>
      <c r="F32" s="12"/>
      <c r="G32" s="12"/>
      <c r="H32" s="12"/>
    </row>
    <row r="33" spans="1:8" ht="11.25" customHeight="1">
      <c r="A33" s="181"/>
      <c r="B33" s="181"/>
      <c r="C33" s="182"/>
      <c r="D33" s="182"/>
      <c r="E33" s="12"/>
      <c r="F33" s="12"/>
      <c r="G33" s="12"/>
      <c r="H33" s="12"/>
    </row>
    <row r="34" spans="1:8" ht="11.25" customHeight="1">
      <c r="A34" s="181"/>
      <c r="B34" s="181"/>
      <c r="C34" s="182"/>
      <c r="D34" s="183"/>
      <c r="E34" s="12"/>
      <c r="F34" s="12"/>
      <c r="G34" s="12"/>
      <c r="H34" s="12"/>
    </row>
    <row r="35" spans="1:8" ht="11.25" customHeight="1">
      <c r="A35" s="183" t="s">
        <v>393</v>
      </c>
      <c r="C35" s="179" t="s">
        <v>395</v>
      </c>
      <c r="D35" s="183"/>
      <c r="E35" s="182" t="s">
        <v>584</v>
      </c>
      <c r="F35" s="12"/>
      <c r="G35" s="12"/>
      <c r="H35" s="12"/>
    </row>
    <row r="36" spans="1:8" ht="11.25" customHeight="1">
      <c r="A36" s="181" t="s">
        <v>394</v>
      </c>
      <c r="C36" s="179" t="s">
        <v>396</v>
      </c>
      <c r="D36" s="181"/>
      <c r="E36" s="184" t="s">
        <v>390</v>
      </c>
      <c r="F36" s="12"/>
      <c r="G36" s="12"/>
      <c r="H36" s="12"/>
    </row>
  </sheetData>
  <mergeCells count="11">
    <mergeCell ref="F11:G11"/>
    <mergeCell ref="A25:G28"/>
    <mergeCell ref="A4:G4"/>
    <mergeCell ref="A5:G5"/>
    <mergeCell ref="A2:G2"/>
    <mergeCell ref="A3:G3"/>
    <mergeCell ref="A6:G6"/>
    <mergeCell ref="A22:G22"/>
    <mergeCell ref="A11:A13"/>
    <mergeCell ref="C11:C13"/>
    <mergeCell ref="E11:E13"/>
  </mergeCells>
  <phoneticPr fontId="6" type="noConversion"/>
  <pageMargins left="1.08" right="0.78740157480314965" top="1.1200000000000001" bottom="0.98425196850393704" header="0.51181102362204722" footer="0.51181102362204722"/>
  <pageSetup paperSize="9" scale="75" orientation="landscape" verticalDpi="0" r:id="rId1"/>
  <headerFooter alignWithMargins="0">
    <oddHeader xml:space="preserve">&amp;LESTADO DO RIO GRANDE DO SUL
PREFEITURA MUNICIPAL DE BOA VISTA DO CADEADO
</oddHeader>
  </headerFooter>
  <legacyDrawing r:id="rId2"/>
</worksheet>
</file>

<file path=xl/worksheets/sheet8.xml><?xml version="1.0" encoding="utf-8"?>
<worksheet xmlns="http://schemas.openxmlformats.org/spreadsheetml/2006/main" xmlns:r="http://schemas.openxmlformats.org/officeDocument/2006/relationships">
  <sheetPr codeName="Plan21"/>
  <dimension ref="A1:M47"/>
  <sheetViews>
    <sheetView view="pageLayout" topLeftCell="D1" zoomScaleNormal="100" workbookViewId="0">
      <selection activeCell="A43" sqref="A43"/>
    </sheetView>
  </sheetViews>
  <sheetFormatPr defaultRowHeight="11.25" customHeight="1"/>
  <cols>
    <col min="1" max="1" width="26.42578125" style="1" customWidth="1"/>
    <col min="2" max="2" width="13.7109375" style="1" customWidth="1"/>
    <col min="3" max="3" width="12.7109375" style="1" customWidth="1"/>
    <col min="4" max="4" width="8.85546875" style="1" customWidth="1"/>
    <col min="5" max="5" width="13" style="1" customWidth="1"/>
    <col min="6" max="6" width="8.85546875" style="1" customWidth="1"/>
    <col min="7" max="7" width="14.42578125" style="1" customWidth="1"/>
    <col min="8" max="8" width="11.5703125" style="1" customWidth="1"/>
    <col min="9" max="9" width="12.7109375" style="1" customWidth="1"/>
    <col min="10" max="10" width="8.85546875" style="1" customWidth="1"/>
    <col min="11" max="11" width="13.5703125" style="1" customWidth="1"/>
    <col min="12" max="12" width="8.85546875" style="1" customWidth="1"/>
    <col min="13" max="16384" width="9.140625" style="1"/>
  </cols>
  <sheetData>
    <row r="1" spans="1:13" s="2" customFormat="1" ht="11.25" customHeight="1"/>
    <row r="2" spans="1:13" s="2" customFormat="1" ht="11.25" customHeight="1">
      <c r="A2" s="572" t="s">
        <v>81</v>
      </c>
      <c r="B2" s="572"/>
      <c r="C2" s="572"/>
      <c r="D2" s="572"/>
      <c r="E2" s="572"/>
      <c r="F2" s="572"/>
      <c r="G2" s="572"/>
      <c r="H2" s="572"/>
      <c r="I2" s="572"/>
      <c r="J2" s="572"/>
      <c r="K2" s="572"/>
      <c r="L2" s="572"/>
      <c r="M2" s="11"/>
    </row>
    <row r="3" spans="1:13" s="2" customFormat="1" ht="11.25" customHeight="1">
      <c r="A3" s="572" t="s">
        <v>136</v>
      </c>
      <c r="B3" s="572"/>
      <c r="C3" s="572"/>
      <c r="D3" s="572"/>
      <c r="E3" s="572"/>
      <c r="F3" s="572"/>
      <c r="G3" s="572"/>
      <c r="H3" s="572"/>
      <c r="I3" s="572"/>
      <c r="J3" s="572"/>
      <c r="K3" s="572"/>
      <c r="L3" s="572"/>
      <c r="M3" s="11"/>
    </row>
    <row r="4" spans="1:13" s="2" customFormat="1" ht="11.25" customHeight="1">
      <c r="A4" s="573" t="s">
        <v>249</v>
      </c>
      <c r="B4" s="574"/>
      <c r="C4" s="574"/>
      <c r="D4" s="574"/>
      <c r="E4" s="574"/>
      <c r="F4" s="574"/>
      <c r="G4" s="574"/>
      <c r="H4" s="574"/>
      <c r="I4" s="574"/>
      <c r="J4" s="574"/>
      <c r="K4" s="574"/>
      <c r="L4" s="574"/>
      <c r="M4" s="277"/>
    </row>
    <row r="5" spans="1:13" s="2" customFormat="1" ht="11.25" customHeight="1">
      <c r="A5" s="574" t="s">
        <v>257</v>
      </c>
      <c r="B5" s="574"/>
      <c r="C5" s="574"/>
      <c r="D5" s="574"/>
      <c r="E5" s="574"/>
      <c r="F5" s="574"/>
      <c r="G5" s="574"/>
      <c r="H5" s="574"/>
      <c r="I5" s="574"/>
      <c r="J5" s="574"/>
      <c r="K5" s="574"/>
      <c r="L5" s="574"/>
      <c r="M5" s="277"/>
    </row>
    <row r="6" spans="1:13" s="2" customFormat="1" ht="11.25" customHeight="1">
      <c r="A6" s="575">
        <v>2013</v>
      </c>
      <c r="B6" s="574"/>
      <c r="C6" s="574"/>
      <c r="D6" s="574"/>
      <c r="E6" s="574"/>
      <c r="F6" s="574"/>
      <c r="G6" s="574"/>
      <c r="H6" s="574"/>
      <c r="I6" s="574"/>
      <c r="J6" s="574"/>
      <c r="K6" s="574"/>
      <c r="L6" s="574"/>
      <c r="M6" s="277"/>
    </row>
    <row r="7" spans="1:13" s="2" customFormat="1" ht="11.25" customHeight="1"/>
    <row r="8" spans="1:13" ht="11.25" customHeight="1">
      <c r="A8" s="570" t="s">
        <v>29</v>
      </c>
      <c r="B8" s="571"/>
      <c r="C8" s="278"/>
      <c r="D8" s="278"/>
      <c r="E8" s="278"/>
      <c r="F8" s="278"/>
      <c r="G8" s="278"/>
      <c r="H8" s="278"/>
      <c r="I8" s="278"/>
      <c r="J8" s="278"/>
      <c r="K8" s="278"/>
      <c r="L8" s="279">
        <v>1</v>
      </c>
    </row>
    <row r="9" spans="1:13" ht="11.25" customHeight="1">
      <c r="A9" s="280"/>
      <c r="B9" s="567" t="s">
        <v>101</v>
      </c>
      <c r="C9" s="568"/>
      <c r="D9" s="568"/>
      <c r="E9" s="568"/>
      <c r="F9" s="568"/>
      <c r="G9" s="568"/>
      <c r="H9" s="568"/>
      <c r="I9" s="568"/>
      <c r="J9" s="568"/>
      <c r="K9" s="568"/>
      <c r="L9" s="568"/>
    </row>
    <row r="10" spans="1:13" s="3" customFormat="1" ht="11.25" customHeight="1">
      <c r="A10" s="281" t="s">
        <v>78</v>
      </c>
      <c r="B10" s="282">
        <v>2010</v>
      </c>
      <c r="C10" s="282">
        <v>2011</v>
      </c>
      <c r="D10" s="283" t="s">
        <v>57</v>
      </c>
      <c r="E10" s="295">
        <v>2012</v>
      </c>
      <c r="F10" s="283" t="s">
        <v>57</v>
      </c>
      <c r="G10" s="295">
        <v>2013</v>
      </c>
      <c r="H10" s="283" t="s">
        <v>57</v>
      </c>
      <c r="I10" s="281">
        <v>2014</v>
      </c>
      <c r="J10" s="283" t="s">
        <v>57</v>
      </c>
      <c r="K10" s="281">
        <v>2015</v>
      </c>
      <c r="L10" s="282" t="s">
        <v>57</v>
      </c>
    </row>
    <row r="11" spans="1:13" s="3" customFormat="1" ht="11.25" customHeight="1">
      <c r="A11" s="284"/>
      <c r="B11" s="285"/>
      <c r="C11" s="288"/>
      <c r="D11" s="286"/>
      <c r="E11" s="445"/>
      <c r="F11" s="287"/>
      <c r="G11" s="445"/>
      <c r="H11" s="287"/>
      <c r="I11" s="284"/>
      <c r="J11" s="287"/>
      <c r="K11" s="284"/>
      <c r="L11" s="288"/>
    </row>
    <row r="12" spans="1:13" ht="11.25" customHeight="1">
      <c r="A12" s="280" t="s">
        <v>96</v>
      </c>
      <c r="B12" s="496">
        <v>8539200</v>
      </c>
      <c r="C12" s="275">
        <v>8837000</v>
      </c>
      <c r="D12" s="289">
        <f>(C12-B12)/C12*100</f>
        <v>3.3699219192033496</v>
      </c>
      <c r="E12" s="275">
        <v>10007000</v>
      </c>
      <c r="F12" s="291">
        <f t="shared" ref="F12:F17" si="0">(E12-C12)/E12*100</f>
        <v>11.691815728989708</v>
      </c>
      <c r="G12" s="275">
        <v>12100000</v>
      </c>
      <c r="H12" s="290">
        <f>(G12-E12)/G12*100</f>
        <v>17.297520661157026</v>
      </c>
      <c r="I12" s="275">
        <v>12600000</v>
      </c>
      <c r="J12" s="291">
        <f>(I12-G12)/I12*100</f>
        <v>3.9682539682539679</v>
      </c>
      <c r="K12" s="275">
        <v>13100000</v>
      </c>
      <c r="L12" s="291">
        <f t="shared" ref="J12:L19" si="1">(K12-I12)/K12*100</f>
        <v>3.8167938931297711</v>
      </c>
    </row>
    <row r="13" spans="1:13" ht="11.25" customHeight="1">
      <c r="A13" s="278" t="s">
        <v>97</v>
      </c>
      <c r="B13" s="497">
        <v>8539200</v>
      </c>
      <c r="C13" s="275">
        <v>8837000</v>
      </c>
      <c r="D13" s="292">
        <f t="shared" ref="D13:D19" si="2">(C13-B13)/C13*100</f>
        <v>3.3699219192033496</v>
      </c>
      <c r="E13" s="275">
        <v>9875000</v>
      </c>
      <c r="F13" s="291">
        <f t="shared" si="0"/>
        <v>10.51139240506329</v>
      </c>
      <c r="G13" s="275">
        <v>11948000</v>
      </c>
      <c r="H13" s="291">
        <f>(G13-E13)/G13*100</f>
        <v>17.350184131235352</v>
      </c>
      <c r="I13" s="275">
        <v>12437000</v>
      </c>
      <c r="J13" s="291">
        <f t="shared" si="1"/>
        <v>3.9318163544263087</v>
      </c>
      <c r="K13" s="275">
        <v>12931000</v>
      </c>
      <c r="L13" s="291">
        <f t="shared" si="1"/>
        <v>3.820276854071611</v>
      </c>
    </row>
    <row r="14" spans="1:13" ht="11.25" customHeight="1">
      <c r="A14" s="278" t="s">
        <v>98</v>
      </c>
      <c r="B14" s="497">
        <v>8600000</v>
      </c>
      <c r="C14" s="275">
        <v>8900000</v>
      </c>
      <c r="D14" s="292">
        <f t="shared" si="2"/>
        <v>3.3707865168539324</v>
      </c>
      <c r="E14" s="275">
        <v>10007000</v>
      </c>
      <c r="F14" s="291">
        <f t="shared" si="0"/>
        <v>11.062256420505646</v>
      </c>
      <c r="G14" s="275">
        <v>12100000</v>
      </c>
      <c r="H14" s="291">
        <f t="shared" ref="H14:H19" si="3">(G14-E14)/G14*100</f>
        <v>17.297520661157026</v>
      </c>
      <c r="I14" s="275">
        <v>12600000</v>
      </c>
      <c r="J14" s="291">
        <f t="shared" si="1"/>
        <v>3.9682539682539679</v>
      </c>
      <c r="K14" s="275">
        <v>13100000</v>
      </c>
      <c r="L14" s="291">
        <f t="shared" si="1"/>
        <v>3.8167938931297711</v>
      </c>
    </row>
    <row r="15" spans="1:13" ht="11.25" customHeight="1">
      <c r="A15" s="278" t="s">
        <v>91</v>
      </c>
      <c r="B15" s="497">
        <v>8600000</v>
      </c>
      <c r="C15" s="275">
        <v>8900000</v>
      </c>
      <c r="D15" s="292">
        <f t="shared" si="2"/>
        <v>3.3707865168539324</v>
      </c>
      <c r="E15" s="275">
        <v>9766600</v>
      </c>
      <c r="F15" s="291">
        <f t="shared" si="0"/>
        <v>8.8730981098847099</v>
      </c>
      <c r="G15" s="275">
        <v>11321000</v>
      </c>
      <c r="H15" s="291">
        <f t="shared" si="3"/>
        <v>13.730235844890027</v>
      </c>
      <c r="I15" s="275">
        <v>11778700</v>
      </c>
      <c r="J15" s="291">
        <f t="shared" si="1"/>
        <v>3.885827807822595</v>
      </c>
      <c r="K15" s="275">
        <v>12307000</v>
      </c>
      <c r="L15" s="291">
        <f t="shared" si="1"/>
        <v>4.2926789631916797</v>
      </c>
    </row>
    <row r="16" spans="1:13" ht="11.25" customHeight="1">
      <c r="A16" s="278" t="s">
        <v>0</v>
      </c>
      <c r="B16" s="497">
        <f>B13-B15</f>
        <v>-60800</v>
      </c>
      <c r="C16" s="275">
        <f>C13-C15</f>
        <v>-63000</v>
      </c>
      <c r="D16" s="292">
        <f t="shared" si="2"/>
        <v>3.4920634920634921</v>
      </c>
      <c r="E16" s="275">
        <f>E13-E15</f>
        <v>108400</v>
      </c>
      <c r="F16" s="291">
        <f t="shared" si="0"/>
        <v>158.1180811808118</v>
      </c>
      <c r="G16" s="275">
        <f>G13-G15</f>
        <v>627000</v>
      </c>
      <c r="H16" s="291">
        <f t="shared" si="3"/>
        <v>82.711323763955349</v>
      </c>
      <c r="I16" s="275">
        <f>I13-I15</f>
        <v>658300</v>
      </c>
      <c r="J16" s="291">
        <f t="shared" si="1"/>
        <v>4.7546711225884861</v>
      </c>
      <c r="K16" s="275">
        <f>K13-K15</f>
        <v>624000</v>
      </c>
      <c r="L16" s="291">
        <f t="shared" si="1"/>
        <v>-5.4967948717948714</v>
      </c>
    </row>
    <row r="17" spans="1:12" ht="11.25" customHeight="1">
      <c r="A17" s="278" t="s">
        <v>12</v>
      </c>
      <c r="B17" s="497">
        <v>298872</v>
      </c>
      <c r="C17" s="275">
        <v>253900</v>
      </c>
      <c r="D17" s="292">
        <f t="shared" si="2"/>
        <v>-17.712485230405672</v>
      </c>
      <c r="E17" s="275">
        <v>129635</v>
      </c>
      <c r="F17" s="291">
        <f t="shared" si="0"/>
        <v>-95.857600185135183</v>
      </c>
      <c r="G17" s="275">
        <v>1886214</v>
      </c>
      <c r="H17" s="291">
        <f t="shared" si="3"/>
        <v>93.127237948610286</v>
      </c>
      <c r="I17" s="275">
        <v>-325950</v>
      </c>
      <c r="J17" s="291">
        <f t="shared" si="1"/>
        <v>678.68200644270598</v>
      </c>
      <c r="K17" s="275">
        <v>-273800</v>
      </c>
      <c r="L17" s="291">
        <f t="shared" si="1"/>
        <v>-19.046749452154856</v>
      </c>
    </row>
    <row r="18" spans="1:12" ht="11.25" customHeight="1">
      <c r="A18" s="278" t="s">
        <v>102</v>
      </c>
      <c r="B18" s="497">
        <v>0</v>
      </c>
      <c r="C18" s="275">
        <v>0</v>
      </c>
      <c r="D18" s="292">
        <v>0</v>
      </c>
      <c r="E18" s="275">
        <v>1065400</v>
      </c>
      <c r="F18" s="286"/>
      <c r="G18" s="275">
        <v>602994</v>
      </c>
      <c r="H18" s="291"/>
      <c r="I18" s="275">
        <v>134100</v>
      </c>
      <c r="J18" s="291"/>
      <c r="K18" s="275">
        <v>134130</v>
      </c>
      <c r="L18" s="291"/>
    </row>
    <row r="19" spans="1:12" ht="11.25" customHeight="1">
      <c r="A19" s="284" t="s">
        <v>100</v>
      </c>
      <c r="B19" s="498">
        <v>60800</v>
      </c>
      <c r="C19" s="276">
        <v>60800</v>
      </c>
      <c r="D19" s="293">
        <f t="shared" si="2"/>
        <v>0</v>
      </c>
      <c r="E19" s="276">
        <v>870400</v>
      </c>
      <c r="F19" s="294">
        <f>(E19-C19)/E19*100</f>
        <v>93.014705882352942</v>
      </c>
      <c r="G19" s="276">
        <v>-467457</v>
      </c>
      <c r="H19" s="294">
        <f t="shared" si="3"/>
        <v>286.19894450184722</v>
      </c>
      <c r="I19" s="276">
        <v>-819696</v>
      </c>
      <c r="J19" s="294">
        <f t="shared" si="1"/>
        <v>42.971906658078119</v>
      </c>
      <c r="K19" s="276">
        <v>-980126</v>
      </c>
      <c r="L19" s="291">
        <f t="shared" si="1"/>
        <v>16.368303667079541</v>
      </c>
    </row>
    <row r="20" spans="1:12" ht="11.25" customHeight="1">
      <c r="A20" s="278"/>
      <c r="B20" s="278"/>
      <c r="C20" s="278"/>
      <c r="D20" s="278"/>
      <c r="E20" s="278"/>
      <c r="F20" s="278"/>
      <c r="G20" s="278"/>
      <c r="H20" s="278"/>
      <c r="I20" s="278"/>
      <c r="J20" s="278"/>
      <c r="K20" s="278"/>
      <c r="L20" s="278"/>
    </row>
    <row r="21" spans="1:12" ht="11.25" customHeight="1">
      <c r="A21" s="280"/>
      <c r="B21" s="569" t="s">
        <v>103</v>
      </c>
      <c r="C21" s="568"/>
      <c r="D21" s="568"/>
      <c r="E21" s="568"/>
      <c r="F21" s="568"/>
      <c r="G21" s="568"/>
      <c r="H21" s="568"/>
      <c r="I21" s="568"/>
      <c r="J21" s="568"/>
      <c r="K21" s="568"/>
      <c r="L21" s="568"/>
    </row>
    <row r="22" spans="1:12" s="3" customFormat="1" ht="11.25" customHeight="1">
      <c r="A22" s="281" t="s">
        <v>78</v>
      </c>
      <c r="B22" s="283">
        <f>B10</f>
        <v>2010</v>
      </c>
      <c r="C22" s="295">
        <f>C10</f>
        <v>2011</v>
      </c>
      <c r="D22" s="281" t="s">
        <v>57</v>
      </c>
      <c r="E22" s="283">
        <f>E10</f>
        <v>2012</v>
      </c>
      <c r="F22" s="281" t="s">
        <v>57</v>
      </c>
      <c r="G22" s="283">
        <f>G10</f>
        <v>2013</v>
      </c>
      <c r="H22" s="302" t="s">
        <v>57</v>
      </c>
      <c r="I22" s="283">
        <v>2012</v>
      </c>
      <c r="J22" s="302" t="s">
        <v>57</v>
      </c>
      <c r="K22" s="283">
        <v>2013</v>
      </c>
      <c r="L22" s="295" t="s">
        <v>57</v>
      </c>
    </row>
    <row r="23" spans="1:12" s="3" customFormat="1" ht="11.25" customHeight="1">
      <c r="A23" s="284"/>
      <c r="B23" s="287"/>
      <c r="C23" s="296"/>
      <c r="D23" s="284"/>
      <c r="E23" s="287"/>
      <c r="F23" s="284"/>
      <c r="G23" s="297"/>
      <c r="H23" s="284"/>
      <c r="I23" s="287"/>
      <c r="J23" s="284"/>
      <c r="K23" s="287"/>
      <c r="L23" s="296"/>
    </row>
    <row r="24" spans="1:12" ht="11.25" customHeight="1">
      <c r="A24" s="280" t="s">
        <v>96</v>
      </c>
      <c r="B24" s="290">
        <f t="shared" ref="B24:C29" si="4">B12/B$35</f>
        <v>7570212.7659574477</v>
      </c>
      <c r="C24" s="290">
        <f t="shared" si="4"/>
        <v>8297652.5821596244</v>
      </c>
      <c r="D24" s="289">
        <f t="shared" ref="D24:D31" si="5">(C24-B24)/C24*100</f>
        <v>8.7668145779712372</v>
      </c>
      <c r="E24" s="290">
        <f>E12/C$35-71.43</f>
        <v>9396172.7014553994</v>
      </c>
      <c r="F24" s="290">
        <f t="shared" ref="F24:F31" si="6">(E24-C24)/E24*100</f>
        <v>11.691144407399218</v>
      </c>
      <c r="G24" s="292">
        <f t="shared" ref="G24:G31" si="7">G12/G$36</f>
        <v>11578947.368421054</v>
      </c>
      <c r="H24" s="291">
        <f t="shared" ref="H24:H30" si="8">(G24-E24)/G24*100</f>
        <v>18.85123576015792</v>
      </c>
      <c r="I24" s="299">
        <f t="shared" ref="I24:I31" si="9">I12/I$36</f>
        <v>11538197.385590991</v>
      </c>
      <c r="J24" s="291">
        <f t="shared" ref="J24:J30" si="10">(I24-G24)/I24*100</f>
        <v>-0.35317460317459526</v>
      </c>
      <c r="K24" s="301">
        <f>K12/K$36-16.16</f>
        <v>11479469.353119312</v>
      </c>
      <c r="L24" s="303"/>
    </row>
    <row r="25" spans="1:12" ht="11.25" customHeight="1">
      <c r="A25" s="278" t="s">
        <v>97</v>
      </c>
      <c r="B25" s="291">
        <f t="shared" si="4"/>
        <v>7570212.7659574477</v>
      </c>
      <c r="C25" s="291">
        <f t="shared" si="4"/>
        <v>8297652.5821596244</v>
      </c>
      <c r="D25" s="292">
        <f t="shared" si="5"/>
        <v>8.7668145779712372</v>
      </c>
      <c r="E25" s="291">
        <f>E13/C$35-71.43</f>
        <v>9272229.0394835696</v>
      </c>
      <c r="F25" s="291">
        <f t="shared" si="6"/>
        <v>10.510703016221282</v>
      </c>
      <c r="G25" s="291">
        <f t="shared" si="7"/>
        <v>11433492.822966509</v>
      </c>
      <c r="H25" s="291">
        <f t="shared" si="8"/>
        <v>18.902918092899824</v>
      </c>
      <c r="I25" s="299">
        <f t="shared" si="9"/>
        <v>11388933.403539298</v>
      </c>
      <c r="J25" s="291">
        <f t="shared" si="10"/>
        <v>-0.39125190962450351</v>
      </c>
      <c r="K25" s="301">
        <f>K13/K$36-16.16</f>
        <v>11331375.227034032</v>
      </c>
      <c r="L25" s="291">
        <f t="shared" ref="L25:L31" si="11">(K25-I25)/K25*100</f>
        <v>-0.50795402457369254</v>
      </c>
    </row>
    <row r="26" spans="1:12" ht="11.25" customHeight="1">
      <c r="A26" s="278" t="s">
        <v>98</v>
      </c>
      <c r="B26" s="291">
        <f t="shared" si="4"/>
        <v>7624113.4751773058</v>
      </c>
      <c r="C26" s="291">
        <f t="shared" si="4"/>
        <v>8356807.5117370896</v>
      </c>
      <c r="D26" s="292">
        <f t="shared" si="5"/>
        <v>8.7676308869232553</v>
      </c>
      <c r="E26" s="291">
        <f>E14/C$35-76.19</f>
        <v>9396167.9414553996</v>
      </c>
      <c r="F26" s="291">
        <f t="shared" si="6"/>
        <v>11.061535257716141</v>
      </c>
      <c r="G26" s="291">
        <f t="shared" si="7"/>
        <v>11578947.368421054</v>
      </c>
      <c r="H26" s="291">
        <f t="shared" si="8"/>
        <v>18.851276869248828</v>
      </c>
      <c r="I26" s="299">
        <f t="shared" si="9"/>
        <v>11538197.385590991</v>
      </c>
      <c r="J26" s="291">
        <f t="shared" si="10"/>
        <v>-0.35317460317459526</v>
      </c>
      <c r="K26" s="301">
        <f>K14/K$36-17.74</f>
        <v>11479467.773119312</v>
      </c>
      <c r="L26" s="291">
        <f t="shared" si="11"/>
        <v>-0.51160570883958889</v>
      </c>
    </row>
    <row r="27" spans="1:12" ht="11.25" customHeight="1">
      <c r="A27" s="278" t="s">
        <v>91</v>
      </c>
      <c r="B27" s="291">
        <f t="shared" si="4"/>
        <v>7624113.4751773058</v>
      </c>
      <c r="C27" s="291">
        <f t="shared" si="4"/>
        <v>8356807.5117370896</v>
      </c>
      <c r="D27" s="292">
        <f t="shared" si="5"/>
        <v>8.7676308869232553</v>
      </c>
      <c r="E27" s="291">
        <f>E15/C$35-76.19</f>
        <v>9170440.2419248838</v>
      </c>
      <c r="F27" s="291">
        <f t="shared" si="6"/>
        <v>8.8723410078839571</v>
      </c>
      <c r="G27" s="291">
        <f t="shared" si="7"/>
        <v>10833492.822966509</v>
      </c>
      <c r="H27" s="291">
        <f t="shared" si="8"/>
        <v>15.351028594545516</v>
      </c>
      <c r="I27" s="299">
        <f t="shared" si="9"/>
        <v>10786108.376639731</v>
      </c>
      <c r="J27" s="291">
        <f t="shared" si="10"/>
        <v>-0.43930994082537983</v>
      </c>
      <c r="K27" s="301">
        <f>K15/K$36-17.74</f>
        <v>10784564.566103769</v>
      </c>
      <c r="L27" s="291">
        <f t="shared" si="11"/>
        <v>-1.4315001097160732E-2</v>
      </c>
    </row>
    <row r="28" spans="1:12" ht="11.25" customHeight="1">
      <c r="A28" s="278" t="s">
        <v>0</v>
      </c>
      <c r="B28" s="291">
        <f t="shared" si="4"/>
        <v>-53900.709219858159</v>
      </c>
      <c r="C28" s="291">
        <f t="shared" si="4"/>
        <v>-59154.929577464791</v>
      </c>
      <c r="D28" s="292">
        <f t="shared" si="5"/>
        <v>8.8821344140493039</v>
      </c>
      <c r="E28" s="291">
        <f>E16/C$35+4.76</f>
        <v>101788.79755868544</v>
      </c>
      <c r="F28" s="291">
        <f t="shared" si="6"/>
        <v>158.11536337617068</v>
      </c>
      <c r="G28" s="291">
        <f t="shared" si="7"/>
        <v>600000</v>
      </c>
      <c r="H28" s="291">
        <f t="shared" si="8"/>
        <v>83.035200406885764</v>
      </c>
      <c r="I28" s="299">
        <f t="shared" si="9"/>
        <v>602825.02689956746</v>
      </c>
      <c r="J28" s="291">
        <f t="shared" si="10"/>
        <v>0.46863132310499017</v>
      </c>
      <c r="K28" s="301">
        <f>K16/K$36+1.58</f>
        <v>546810.66093026334</v>
      </c>
      <c r="L28" s="291">
        <f t="shared" si="11"/>
        <v>-10.243832092448509</v>
      </c>
    </row>
    <row r="29" spans="1:12" ht="11.25" customHeight="1">
      <c r="A29" s="278" t="s">
        <v>12</v>
      </c>
      <c r="B29" s="291">
        <f t="shared" si="4"/>
        <v>264957.44680851069</v>
      </c>
      <c r="C29" s="291">
        <f t="shared" si="4"/>
        <v>238403.7558685446</v>
      </c>
      <c r="D29" s="292">
        <f t="shared" si="5"/>
        <v>-11.138117704239422</v>
      </c>
      <c r="E29" s="291">
        <f>E17/C$35-40</f>
        <v>121683.00469483569</v>
      </c>
      <c r="F29" s="291">
        <f t="shared" si="6"/>
        <v>-95.92198307925463</v>
      </c>
      <c r="G29" s="291">
        <f t="shared" si="7"/>
        <v>1804989.4736842106</v>
      </c>
      <c r="H29" s="291">
        <f t="shared" si="8"/>
        <v>93.258519982032624</v>
      </c>
      <c r="I29" s="299">
        <f t="shared" si="9"/>
        <v>-298482.17760582408</v>
      </c>
      <c r="J29" s="291">
        <f t="shared" si="10"/>
        <v>704.7226967326277</v>
      </c>
      <c r="K29" s="301">
        <f>K17/K$36+46.6</f>
        <v>-239883.41019023416</v>
      </c>
      <c r="L29" s="291">
        <f t="shared" si="11"/>
        <v>-24.428019999015135</v>
      </c>
    </row>
    <row r="30" spans="1:12" ht="11.25" customHeight="1">
      <c r="A30" s="278" t="s">
        <v>102</v>
      </c>
      <c r="B30" s="291">
        <f>B18/B$35</f>
        <v>0</v>
      </c>
      <c r="C30" s="291"/>
      <c r="D30" s="292"/>
      <c r="E30" s="286"/>
      <c r="F30" s="291"/>
      <c r="G30" s="291">
        <f t="shared" si="7"/>
        <v>577027.75119617232</v>
      </c>
      <c r="H30" s="291">
        <f t="shared" si="8"/>
        <v>100</v>
      </c>
      <c r="I30" s="299">
        <f t="shared" si="9"/>
        <v>122799.3864609327</v>
      </c>
      <c r="J30" s="291">
        <f t="shared" si="10"/>
        <v>-369.89465324384787</v>
      </c>
      <c r="K30" s="301">
        <f>K18/K$36</f>
        <v>117537.66350188499</v>
      </c>
      <c r="L30" s="291">
        <f t="shared" si="11"/>
        <v>-4.4766271527622488</v>
      </c>
    </row>
    <row r="31" spans="1:12" ht="11.25" customHeight="1">
      <c r="A31" s="284" t="s">
        <v>100</v>
      </c>
      <c r="B31" s="294">
        <f>B19/B$35</f>
        <v>53900.709219858159</v>
      </c>
      <c r="C31" s="294">
        <f>C19/C$35</f>
        <v>57089.201877934276</v>
      </c>
      <c r="D31" s="293">
        <f t="shared" si="5"/>
        <v>5.585106382978724</v>
      </c>
      <c r="E31" s="294">
        <f>E19/C$35-4.76</f>
        <v>817272.23530516436</v>
      </c>
      <c r="F31" s="294">
        <f t="shared" si="6"/>
        <v>93.014665198235008</v>
      </c>
      <c r="G31" s="294">
        <f t="shared" si="7"/>
        <v>-447327.27272727276</v>
      </c>
      <c r="H31" s="294">
        <f>(G31-E31)/G31*100</f>
        <v>282.70118661051112</v>
      </c>
      <c r="I31" s="300">
        <f t="shared" si="9"/>
        <v>-750620.17810947564</v>
      </c>
      <c r="J31" s="294">
        <f>(I31-G31)/I31*100</f>
        <v>40.405642457691634</v>
      </c>
      <c r="K31" s="304">
        <f>K19/K$36-45.84</f>
        <v>-858926.92534592201</v>
      </c>
      <c r="L31" s="294">
        <f t="shared" si="11"/>
        <v>12.609541515167566</v>
      </c>
    </row>
    <row r="32" spans="1:12" ht="11.25" customHeight="1">
      <c r="A32" s="1" t="s">
        <v>399</v>
      </c>
    </row>
    <row r="34" spans="1:12" ht="11.25" customHeight="1" thickBot="1">
      <c r="A34" s="1" t="s">
        <v>254</v>
      </c>
      <c r="B34" s="495">
        <v>5.9089999999999997E-2</v>
      </c>
      <c r="C34" s="495">
        <v>6.5031000000000005E-2</v>
      </c>
      <c r="E34" s="57">
        <v>0.05</v>
      </c>
      <c r="G34" s="57">
        <v>4.4999999999999998E-2</v>
      </c>
      <c r="I34" s="57">
        <v>4.4999999999999998E-2</v>
      </c>
      <c r="K34" s="57">
        <v>4.4999999999999998E-2</v>
      </c>
      <c r="L34" s="57"/>
    </row>
    <row r="35" spans="1:12" ht="11.25" customHeight="1">
      <c r="A35" s="1" t="s">
        <v>252</v>
      </c>
      <c r="B35" s="454">
        <v>1.1279999999999999</v>
      </c>
      <c r="C35" s="455">
        <v>1.0649999999999999</v>
      </c>
      <c r="E35" s="60" t="s">
        <v>83</v>
      </c>
    </row>
    <row r="36" spans="1:12" ht="11.25" customHeight="1" thickBot="1">
      <c r="A36" s="1" t="s">
        <v>253</v>
      </c>
      <c r="E36" s="61" t="s">
        <v>85</v>
      </c>
      <c r="G36" s="58">
        <f>1+G34</f>
        <v>1.0449999999999999</v>
      </c>
      <c r="I36" s="1">
        <f>(1+G34)*(1+I34)</f>
        <v>1.0920249999999998</v>
      </c>
      <c r="K36" s="59">
        <f>(1+K34)*(1+I34)*(1+G34)</f>
        <v>1.1411661249999998</v>
      </c>
    </row>
    <row r="37" spans="1:12" ht="11.25" customHeight="1">
      <c r="A37" s="1" t="s">
        <v>609</v>
      </c>
    </row>
    <row r="40" spans="1:12" ht="27.75" customHeight="1">
      <c r="A40" s="566" t="s">
        <v>403</v>
      </c>
      <c r="B40" s="566"/>
      <c r="C40" s="566"/>
      <c r="D40" s="566"/>
      <c r="E40" s="566"/>
      <c r="F40" s="566"/>
      <c r="G40" s="566"/>
      <c r="H40" s="566"/>
      <c r="I40" s="566"/>
      <c r="J40" s="566"/>
      <c r="K40" s="566"/>
      <c r="L40" s="566"/>
    </row>
    <row r="41" spans="1:12" ht="11.25" customHeight="1">
      <c r="A41" s="305"/>
      <c r="B41" s="305"/>
      <c r="C41" s="305"/>
      <c r="D41" s="305"/>
      <c r="E41" s="305"/>
      <c r="F41" s="305"/>
      <c r="G41" s="305"/>
      <c r="H41" s="305"/>
      <c r="I41" s="305"/>
      <c r="J41" s="305"/>
      <c r="K41" s="305"/>
      <c r="L41" s="305"/>
    </row>
    <row r="42" spans="1:12" ht="11.25" customHeight="1">
      <c r="A42" s="181" t="s">
        <v>632</v>
      </c>
      <c r="B42" s="181"/>
      <c r="C42" s="306"/>
      <c r="D42" s="182"/>
      <c r="E42" s="179"/>
      <c r="F42" s="179"/>
      <c r="G42" s="179"/>
      <c r="H42" s="179"/>
      <c r="I42" s="179"/>
      <c r="J42" s="179"/>
      <c r="K42" s="179"/>
      <c r="L42" s="179"/>
    </row>
    <row r="43" spans="1:12" ht="11.25" customHeight="1">
      <c r="A43" s="181"/>
      <c r="B43" s="181"/>
      <c r="C43" s="306"/>
      <c r="D43" s="183"/>
      <c r="E43" s="179"/>
      <c r="F43" s="179"/>
      <c r="G43" s="179"/>
      <c r="H43" s="179"/>
      <c r="I43" s="179"/>
      <c r="J43" s="179"/>
      <c r="K43" s="179"/>
      <c r="L43" s="179"/>
    </row>
    <row r="44" spans="1:12" ht="11.25" customHeight="1">
      <c r="A44" s="181"/>
      <c r="B44" s="181"/>
      <c r="C44" s="306"/>
      <c r="D44" s="183"/>
      <c r="E44" s="179"/>
      <c r="F44" s="179"/>
      <c r="G44" s="179"/>
      <c r="H44" s="179"/>
      <c r="I44" s="179"/>
      <c r="J44" s="179"/>
      <c r="K44" s="179"/>
      <c r="L44" s="179"/>
    </row>
    <row r="45" spans="1:12" ht="11.25" customHeight="1">
      <c r="A45" s="181"/>
      <c r="B45" s="181"/>
      <c r="C45" s="306"/>
      <c r="D45" s="183"/>
      <c r="E45" s="179"/>
      <c r="F45" s="179"/>
      <c r="G45" s="179"/>
      <c r="H45" s="179"/>
      <c r="I45" s="179"/>
      <c r="J45" s="179"/>
      <c r="K45" s="179"/>
      <c r="L45" s="179"/>
    </row>
    <row r="46" spans="1:12" ht="11.25" customHeight="1">
      <c r="A46" s="183" t="s">
        <v>401</v>
      </c>
      <c r="B46" s="182"/>
      <c r="C46" s="306"/>
      <c r="D46" s="183"/>
      <c r="E46" s="179"/>
      <c r="F46" s="182" t="s">
        <v>610</v>
      </c>
      <c r="G46" s="179"/>
      <c r="H46" s="179"/>
      <c r="I46" s="179"/>
      <c r="J46" s="179"/>
      <c r="K46" s="179"/>
      <c r="L46" s="179"/>
    </row>
    <row r="47" spans="1:12" ht="11.25" customHeight="1">
      <c r="A47" s="181" t="s">
        <v>402</v>
      </c>
      <c r="B47" s="184"/>
      <c r="C47" s="307"/>
      <c r="D47" s="181"/>
      <c r="E47" s="179"/>
      <c r="F47" s="184" t="s">
        <v>390</v>
      </c>
      <c r="G47" s="179"/>
      <c r="H47" s="179"/>
      <c r="I47" s="179"/>
      <c r="J47" s="179"/>
      <c r="K47" s="179"/>
      <c r="L47" s="179"/>
    </row>
  </sheetData>
  <mergeCells count="9">
    <mergeCell ref="A40:L40"/>
    <mergeCell ref="B9:L9"/>
    <mergeCell ref="B21:L21"/>
    <mergeCell ref="A8:B8"/>
    <mergeCell ref="A2:L2"/>
    <mergeCell ref="A3:L3"/>
    <mergeCell ref="A4:L4"/>
    <mergeCell ref="A6:L6"/>
    <mergeCell ref="A5:L5"/>
  </mergeCells>
  <phoneticPr fontId="6" type="noConversion"/>
  <pageMargins left="0.78740157499999996" right="0.78740157499999996" top="0.984251969" bottom="0.984251969" header="0.49212598499999999" footer="0.49212598499999999"/>
  <pageSetup paperSize="9" scale="75" orientation="landscape" r:id="rId1"/>
  <headerFooter alignWithMargins="0">
    <oddHeader xml:space="preserve">&amp;LESTADO DO RIO GRANDE DO SUL
PREFEITURA MUNICIPAL DE BOA VISTA DO CADEADO
</oddHeader>
  </headerFooter>
  <drawing r:id="rId2"/>
</worksheet>
</file>

<file path=xl/worksheets/sheet9.xml><?xml version="1.0" encoding="utf-8"?>
<worksheet xmlns="http://schemas.openxmlformats.org/spreadsheetml/2006/main" xmlns:r="http://schemas.openxmlformats.org/officeDocument/2006/relationships">
  <sheetPr codeName="Plan22"/>
  <dimension ref="A3:M30"/>
  <sheetViews>
    <sheetView workbookViewId="0">
      <selection activeCell="A8" sqref="A8"/>
    </sheetView>
  </sheetViews>
  <sheetFormatPr defaultRowHeight="11.25" customHeight="1"/>
  <cols>
    <col min="1" max="1" width="33.5703125" style="105" customWidth="1"/>
    <col min="2" max="2" width="12.42578125" style="105" customWidth="1"/>
    <col min="3" max="3" width="9.140625" style="105" customWidth="1"/>
    <col min="4" max="4" width="14.85546875" style="105" customWidth="1"/>
    <col min="5" max="5" width="9.140625" style="105" customWidth="1"/>
    <col min="6" max="6" width="14.7109375" style="105" customWidth="1"/>
    <col min="7" max="7" width="9.85546875" style="105" customWidth="1"/>
    <col min="8" max="16384" width="9.140625" style="105"/>
  </cols>
  <sheetData>
    <row r="3" spans="1:13" ht="11.25" customHeight="1">
      <c r="A3" s="573" t="s">
        <v>81</v>
      </c>
      <c r="B3" s="574"/>
      <c r="C3" s="574"/>
      <c r="D3" s="574"/>
      <c r="E3" s="574"/>
      <c r="F3" s="574"/>
      <c r="G3" s="574"/>
      <c r="H3" s="574"/>
      <c r="I3" s="574"/>
    </row>
    <row r="4" spans="1:13" ht="11.25" customHeight="1">
      <c r="A4" s="573" t="s">
        <v>82</v>
      </c>
      <c r="B4" s="574"/>
      <c r="C4" s="574"/>
      <c r="D4" s="574"/>
      <c r="E4" s="574"/>
      <c r="F4" s="574"/>
      <c r="G4" s="574"/>
      <c r="H4" s="574"/>
      <c r="I4" s="574"/>
    </row>
    <row r="5" spans="1:13" ht="11.25" customHeight="1">
      <c r="A5" s="573" t="s">
        <v>249</v>
      </c>
      <c r="B5" s="574"/>
      <c r="C5" s="574"/>
      <c r="D5" s="574"/>
      <c r="E5" s="574"/>
      <c r="F5" s="574"/>
      <c r="G5" s="574"/>
      <c r="H5" s="574"/>
      <c r="I5" s="574"/>
      <c r="J5" s="308"/>
      <c r="K5" s="308"/>
      <c r="L5" s="308"/>
      <c r="M5" s="308"/>
    </row>
    <row r="6" spans="1:13" ht="14.25" customHeight="1">
      <c r="A6" s="574" t="s">
        <v>256</v>
      </c>
      <c r="B6" s="574"/>
      <c r="C6" s="574"/>
      <c r="D6" s="574"/>
      <c r="E6" s="574"/>
      <c r="F6" s="574"/>
      <c r="G6" s="574"/>
      <c r="H6" s="574"/>
      <c r="I6" s="574"/>
      <c r="J6" s="308"/>
      <c r="K6" s="308"/>
      <c r="L6" s="308"/>
      <c r="M6" s="308"/>
    </row>
    <row r="7" spans="1:13" ht="14.25" customHeight="1">
      <c r="A7" s="575">
        <v>2013</v>
      </c>
      <c r="B7" s="574"/>
      <c r="C7" s="574"/>
      <c r="D7" s="574"/>
      <c r="E7" s="574"/>
      <c r="F7" s="574"/>
      <c r="G7" s="574"/>
      <c r="H7" s="574"/>
      <c r="I7" s="574"/>
      <c r="J7" s="308"/>
      <c r="K7" s="308"/>
      <c r="L7" s="308"/>
      <c r="M7" s="308"/>
    </row>
    <row r="8" spans="1:13" ht="11.25" customHeight="1">
      <c r="A8" s="309"/>
      <c r="B8" s="309"/>
      <c r="C8" s="309"/>
      <c r="D8" s="309"/>
      <c r="E8" s="309"/>
      <c r="F8" s="309"/>
      <c r="G8" s="309"/>
    </row>
    <row r="9" spans="1:13" ht="11.25" customHeight="1">
      <c r="A9" s="582" t="s">
        <v>30</v>
      </c>
      <c r="B9" s="583"/>
      <c r="C9" s="310"/>
      <c r="D9" s="310"/>
      <c r="E9" s="310"/>
      <c r="F9" s="310"/>
      <c r="G9" s="311">
        <v>1</v>
      </c>
    </row>
    <row r="10" spans="1:13" ht="11.25" customHeight="1">
      <c r="A10" s="584" t="s">
        <v>104</v>
      </c>
      <c r="B10" s="579">
        <v>2011</v>
      </c>
      <c r="C10" s="581" t="s">
        <v>57</v>
      </c>
      <c r="D10" s="579">
        <v>2010</v>
      </c>
      <c r="E10" s="581" t="s">
        <v>57</v>
      </c>
      <c r="F10" s="579">
        <v>2009</v>
      </c>
      <c r="G10" s="586" t="s">
        <v>57</v>
      </c>
    </row>
    <row r="11" spans="1:13" s="222" customFormat="1" ht="11.25" customHeight="1">
      <c r="A11" s="585"/>
      <c r="B11" s="580"/>
      <c r="C11" s="580"/>
      <c r="D11" s="580"/>
      <c r="E11" s="580"/>
      <c r="F11" s="580"/>
      <c r="G11" s="587"/>
    </row>
    <row r="12" spans="1:13" ht="11.25" customHeight="1">
      <c r="A12" s="312" t="s">
        <v>105</v>
      </c>
      <c r="B12" s="275">
        <v>12735803.539999999</v>
      </c>
      <c r="C12" s="312">
        <v>100</v>
      </c>
      <c r="D12" s="275">
        <v>9892099.2699999996</v>
      </c>
      <c r="E12" s="312">
        <v>100</v>
      </c>
      <c r="F12" s="275">
        <v>9238077.9199999999</v>
      </c>
      <c r="G12" s="313">
        <v>100</v>
      </c>
    </row>
    <row r="13" spans="1:13" ht="11.25" customHeight="1">
      <c r="A13" s="312" t="s">
        <v>106</v>
      </c>
      <c r="B13" s="312"/>
      <c r="C13" s="312"/>
      <c r="D13" s="312"/>
      <c r="E13" s="312"/>
      <c r="F13" s="312"/>
      <c r="G13" s="313"/>
    </row>
    <row r="14" spans="1:13" ht="11.25" customHeight="1">
      <c r="A14" s="314" t="s">
        <v>107</v>
      </c>
      <c r="B14" s="314"/>
      <c r="C14" s="314"/>
      <c r="D14" s="314"/>
      <c r="E14" s="314"/>
      <c r="F14" s="314"/>
      <c r="G14" s="315"/>
    </row>
    <row r="15" spans="1:13" ht="11.25" customHeight="1">
      <c r="A15" s="316" t="s">
        <v>76</v>
      </c>
      <c r="B15" s="319">
        <f>B12</f>
        <v>12735803.539999999</v>
      </c>
      <c r="C15" s="316"/>
      <c r="D15" s="319">
        <f>D12</f>
        <v>9892099.2699999996</v>
      </c>
      <c r="E15" s="316"/>
      <c r="F15" s="319">
        <f>F12</f>
        <v>9238077.9199999999</v>
      </c>
      <c r="G15" s="317"/>
    </row>
    <row r="16" spans="1:13" s="192" customFormat="1" ht="11.25" customHeight="1">
      <c r="A16" s="318"/>
      <c r="B16" s="318"/>
      <c r="C16" s="318"/>
      <c r="D16" s="318"/>
      <c r="E16" s="318"/>
      <c r="F16" s="318"/>
      <c r="G16" s="318"/>
    </row>
    <row r="17" spans="1:8" ht="11.25" customHeight="1">
      <c r="A17" s="578" t="s">
        <v>404</v>
      </c>
      <c r="B17" s="578"/>
      <c r="C17" s="578"/>
      <c r="D17" s="578"/>
      <c r="E17" s="578"/>
      <c r="F17" s="578"/>
      <c r="G17" s="578"/>
    </row>
    <row r="19" spans="1:8" ht="39.75" customHeight="1">
      <c r="A19" s="576" t="s">
        <v>611</v>
      </c>
      <c r="B19" s="577"/>
      <c r="C19" s="577"/>
      <c r="D19" s="577"/>
      <c r="E19" s="577"/>
      <c r="F19" s="577"/>
      <c r="G19" s="577"/>
    </row>
    <row r="21" spans="1:8" ht="11.25" customHeight="1">
      <c r="A21" s="305"/>
      <c r="B21" s="305"/>
      <c r="C21" s="305"/>
      <c r="D21" s="305"/>
      <c r="E21" s="305"/>
      <c r="F21" s="305"/>
      <c r="G21" s="305"/>
      <c r="H21" s="305"/>
    </row>
    <row r="22" spans="1:8" ht="11.25" customHeight="1">
      <c r="A22" s="181" t="s">
        <v>632</v>
      </c>
      <c r="B22" s="181"/>
      <c r="C22" s="306"/>
      <c r="D22" s="182"/>
      <c r="E22" s="179"/>
      <c r="F22" s="179"/>
      <c r="G22" s="179"/>
      <c r="H22" s="179"/>
    </row>
    <row r="23" spans="1:8" ht="11.25" customHeight="1">
      <c r="A23" s="181"/>
      <c r="B23" s="181"/>
      <c r="C23" s="306"/>
      <c r="D23" s="183"/>
      <c r="E23" s="179"/>
      <c r="F23" s="179"/>
      <c r="G23" s="179"/>
      <c r="H23" s="179"/>
    </row>
    <row r="24" spans="1:8" ht="11.25" customHeight="1">
      <c r="A24" s="181"/>
      <c r="B24" s="181"/>
      <c r="C24" s="306"/>
      <c r="D24" s="183"/>
      <c r="E24" s="179"/>
      <c r="F24" s="179"/>
      <c r="G24" s="179"/>
      <c r="H24" s="179"/>
    </row>
    <row r="25" spans="1:8" ht="11.25" customHeight="1">
      <c r="A25" s="181"/>
      <c r="B25" s="181"/>
      <c r="C25" s="306"/>
      <c r="D25" s="183"/>
      <c r="E25" s="179"/>
      <c r="F25" s="179"/>
      <c r="G25" s="179"/>
      <c r="H25" s="179"/>
    </row>
    <row r="26" spans="1:8" ht="11.25" customHeight="1">
      <c r="A26" s="183" t="s">
        <v>401</v>
      </c>
      <c r="B26" s="182"/>
      <c r="C26" s="306"/>
      <c r="D26" s="183"/>
      <c r="E26" s="179"/>
      <c r="F26" s="182" t="s">
        <v>614</v>
      </c>
      <c r="G26" s="179"/>
      <c r="H26" s="179"/>
    </row>
    <row r="27" spans="1:8" ht="11.25" customHeight="1">
      <c r="A27" s="181" t="s">
        <v>402</v>
      </c>
      <c r="B27" s="184"/>
      <c r="C27" s="307"/>
      <c r="D27" s="181"/>
      <c r="E27" s="179"/>
      <c r="F27" s="184" t="s">
        <v>390</v>
      </c>
      <c r="G27" s="179"/>
      <c r="H27" s="179"/>
    </row>
    <row r="28" spans="1:8" ht="11.25" customHeight="1">
      <c r="A28" s="1"/>
      <c r="B28" s="1"/>
      <c r="C28" s="1"/>
      <c r="D28" s="1"/>
      <c r="E28" s="1"/>
      <c r="F28" s="1"/>
      <c r="G28" s="1"/>
      <c r="H28" s="1"/>
    </row>
    <row r="29" spans="1:8" ht="11.25" customHeight="1">
      <c r="A29" s="1"/>
      <c r="B29" s="1"/>
      <c r="C29" s="1"/>
      <c r="D29" s="1"/>
      <c r="E29" s="1"/>
      <c r="F29" s="1"/>
      <c r="G29" s="1"/>
      <c r="H29" s="1"/>
    </row>
    <row r="30" spans="1:8" ht="11.25" customHeight="1">
      <c r="A30" s="1"/>
      <c r="B30" s="1"/>
      <c r="C30" s="1"/>
      <c r="D30" s="1"/>
      <c r="E30" s="1"/>
      <c r="F30" s="1"/>
      <c r="G30" s="1"/>
      <c r="H30" s="1"/>
    </row>
  </sheetData>
  <mergeCells count="15">
    <mergeCell ref="A19:G19"/>
    <mergeCell ref="A7:I7"/>
    <mergeCell ref="A3:I3"/>
    <mergeCell ref="A4:I4"/>
    <mergeCell ref="A5:I5"/>
    <mergeCell ref="A6:I6"/>
    <mergeCell ref="A17:G17"/>
    <mergeCell ref="B10:B11"/>
    <mergeCell ref="C10:C11"/>
    <mergeCell ref="D10:D11"/>
    <mergeCell ref="E10:E11"/>
    <mergeCell ref="A9:B9"/>
    <mergeCell ref="A10:A11"/>
    <mergeCell ref="F10:F11"/>
    <mergeCell ref="G10:G11"/>
  </mergeCells>
  <phoneticPr fontId="6" type="noConversion"/>
  <pageMargins left="1.299212598425197" right="0.78740157480314965" top="0.98425196850393704" bottom="0.98425196850393704" header="0.51181102362204722" footer="0.51181102362204722"/>
  <pageSetup paperSize="9" orientation="landscape" verticalDpi="0" r:id="rId1"/>
  <headerFooter alignWithMargins="0">
    <oddHeader>&amp;LESTADO DO RIO GRANDE DO SUL
PREFEITURA MUNICIPAL DE BOA VISTA DO CADEADO</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16</vt:i4>
      </vt:variant>
    </vt:vector>
  </HeadingPairs>
  <TitlesOfParts>
    <vt:vector size="16" baseType="lpstr">
      <vt:lpstr>Anexo I(a)- Receita e Despesa</vt:lpstr>
      <vt:lpstr>Anexo I(b)Metodologia Receita</vt:lpstr>
      <vt:lpstr>Anexo II-RCL</vt:lpstr>
      <vt:lpstr>Anexo III-(a)Metas</vt:lpstr>
      <vt:lpstr>Anexo III-(b)Met.</vt:lpstr>
      <vt:lpstr>Anexo III-(c) Res.Nominal</vt:lpstr>
      <vt:lpstr>Anexo III-(d) AA</vt:lpstr>
      <vt:lpstr>Anexo III- (e)-3exer</vt:lpstr>
      <vt:lpstr>Anexo III-(f)EPL</vt:lpstr>
      <vt:lpstr>Anexo III-(g)OAA</vt:lpstr>
      <vt:lpstr>Anexo IV- (h)ARPPS</vt:lpstr>
      <vt:lpstr>Anexo III-(h)ECRR</vt:lpstr>
      <vt:lpstr>Anexo III-(i) DOCC</vt:lpstr>
      <vt:lpstr>Anexo IV - ARF</vt:lpstr>
      <vt:lpstr>Anexo V-RPA</vt:lpstr>
      <vt:lpstr>Anexo VI -Pessoal</vt:lpstr>
    </vt:vector>
  </TitlesOfParts>
  <Company>Ministério da Fazenda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RREO</dc:title>
  <dc:creator>GEINC/CCONT/STN</dc:creator>
  <cp:lastModifiedBy>Pref Mun de Boa Vista do Cadeado</cp:lastModifiedBy>
  <cp:lastPrinted>2012-08-24T12:52:43Z</cp:lastPrinted>
  <dcterms:created xsi:type="dcterms:W3CDTF">2004-08-09T19:29:24Z</dcterms:created>
  <dcterms:modified xsi:type="dcterms:W3CDTF">2012-09-25T12:49:01Z</dcterms:modified>
</cp:coreProperties>
</file>