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EstaPasta_de_trabalho" defaultThemeVersion="124226"/>
  <bookViews>
    <workbookView xWindow="-135" yWindow="-90" windowWidth="12120" windowHeight="9120" tabRatio="904" firstSheet="11" activeTab="16"/>
  </bookViews>
  <sheets>
    <sheet name="Anexo I(a)- Receita" sheetId="38" state="hidden" r:id="rId1"/>
    <sheet name="Anexo I(b)Metodologia Receita" sheetId="46" state="hidden" r:id="rId2"/>
    <sheet name="Anexo II-RCL" sheetId="45" state="hidden" r:id="rId3"/>
    <sheet name="Anexo III-(a)Metas" sheetId="35" state="hidden" r:id="rId4"/>
    <sheet name="Anexo III-(b)Met." sheetId="11" state="hidden" r:id="rId5"/>
    <sheet name="Anexo III-(c) Res.Nominal" sheetId="47" state="hidden" r:id="rId6"/>
    <sheet name="Anexo III-(d) AA" sheetId="34" state="hidden" r:id="rId7"/>
    <sheet name="Anexo III- (e)-3exer" sheetId="33" state="hidden" r:id="rId8"/>
    <sheet name="Anexo III-(f)EPL" sheetId="32" state="hidden" r:id="rId9"/>
    <sheet name="Anexo III-(g)OAA" sheetId="31" state="hidden" r:id="rId10"/>
    <sheet name="Anexo IV- (h)ARPPS" sheetId="30" state="hidden" r:id="rId11"/>
    <sheet name="Anexo III-(h)ECRR" sheetId="29" r:id="rId12"/>
    <sheet name="Anexo III-(i) DOCC" sheetId="28" state="hidden" r:id="rId13"/>
    <sheet name="Anexo IV - ARF" sheetId="41" state="hidden" r:id="rId14"/>
    <sheet name="Anexo V-RPA" sheetId="42" state="hidden" r:id="rId15"/>
    <sheet name="Anexo VI -Pessoal" sheetId="43" state="hidden" r:id="rId16"/>
    <sheet name="Anexo IV ARF" sheetId="48" r:id="rId17"/>
  </sheets>
  <definedNames>
    <definedName name="_Toc81141672" localSheetId="3">'Anexo III-(a)Metas'!#REF!</definedName>
    <definedName name="_Toc81141690" localSheetId="7">'Anexo III- (e)-3exer'!#REF!</definedName>
    <definedName name="_Toc81141697" localSheetId="7">'Anexo III- (e)-3exer'!#REF!</definedName>
    <definedName name="_Toc81141725" localSheetId="12">'Anexo III-(i) DOCC'!#REF!</definedName>
    <definedName name="Ganhos_e_perdas_de_receita" localSheetId="4">#REF!</definedName>
    <definedName name="Ganhos_e_Perdas_de_Receita_99" localSheetId="4">#REF!</definedName>
    <definedName name="HTML_CodePage" hidden="1">1252</definedName>
    <definedName name="HTML_Description" hidden="1">""</definedName>
    <definedName name="HTML_Email" hidden="1">""</definedName>
    <definedName name="HTML_Header" hidden="1">"Tabela"</definedName>
    <definedName name="HTML_LastUpdate" hidden="1">"16/03/98"</definedName>
    <definedName name="HTML_LineAfter" hidden="1">FALSE</definedName>
    <definedName name="HTML_LineBefore" hidden="1">FALSE</definedName>
    <definedName name="HTML_Name" hidden="1">"Rede Integrada"</definedName>
    <definedName name="HTML_OBDlg2" hidden="1">TRUE</definedName>
    <definedName name="HTML_OBDlg4" hidden="1">TRUE</definedName>
    <definedName name="HTML_OS" hidden="1">0</definedName>
    <definedName name="HTML_PathFile" hidden="1">"C:\internetemp\balpep1.htm"</definedName>
    <definedName name="HTML_Title" hidden="1">"Balpep11"</definedName>
    <definedName name="Planilha_1ÁreaTotal" localSheetId="4">#REF!,#REF!</definedName>
    <definedName name="Planilha_1CabGráfico" localSheetId="4">#REF!</definedName>
    <definedName name="Planilha_1TítCols" localSheetId="4">#REF!,#REF!</definedName>
    <definedName name="Planilha_1TítLins" localSheetId="4">#REF!</definedName>
    <definedName name="Planilha_2ÁreaTotal" localSheetId="4">#REF!,#REF!</definedName>
    <definedName name="Planilha_2CabGráfico" localSheetId="4">#REF!</definedName>
    <definedName name="Planilha_2TítCols" localSheetId="4">#REF!,#REF!</definedName>
    <definedName name="Planilha_2TítLins" localSheetId="4">#REF!</definedName>
    <definedName name="Planilha_3ÁreaTotal" localSheetId="4">#REF!,#REF!</definedName>
    <definedName name="Planilha_3CabGráfico" localSheetId="4">#REF!</definedName>
    <definedName name="Planilha_3TítCols" localSheetId="4">#REF!,#REF!</definedName>
    <definedName name="Planilha_3TítLins" localSheetId="4">#REF!</definedName>
    <definedName name="Tabela_1___Déficit_da_Previdência_Social__RGPS" localSheetId="4">#REF!</definedName>
    <definedName name="Tabela_10___Resultado_Primário_do_Governo_Central_em_1999" localSheetId="4">#REF!</definedName>
    <definedName name="Tabela_2___Contribuições_Previdenciárias" localSheetId="4">#REF!</definedName>
    <definedName name="Tabela_3___Benefícios__previsto_x_realizado" localSheetId="4">#REF!</definedName>
    <definedName name="Tabela_4___Receitas_Administradas_pela_SRF__previsto_x_realizado" localSheetId="4">#REF!</definedName>
    <definedName name="Tabela_5___Receitas_Administradas_em_Agosto" localSheetId="4">#REF!</definedName>
    <definedName name="Tabela_6___Receitas_Diretamente_Arrecadadas" localSheetId="4">#REF!</definedName>
    <definedName name="Tabela_7___Déficit_da_Previdência_Social_em_1999" localSheetId="4">#REF!</definedName>
    <definedName name="Tabela_8___Receitas_Administradas__revisão_da_previsão" localSheetId="4">#REF!</definedName>
    <definedName name="Tabela_9___Resultado_Primário_de_1999" localSheetId="4">#REF!</definedName>
  </definedNames>
  <calcPr calcId="125725"/>
</workbook>
</file>

<file path=xl/calcChain.xml><?xml version="1.0" encoding="utf-8"?>
<calcChain xmlns="http://schemas.openxmlformats.org/spreadsheetml/2006/main">
  <c r="D18" i="48"/>
  <c r="B18"/>
  <c r="F11" i="43"/>
  <c r="D35" i="42"/>
  <c r="D34"/>
  <c r="D30"/>
  <c r="D45"/>
  <c r="D18" i="41"/>
  <c r="B18"/>
  <c r="B16" i="28"/>
  <c r="B22"/>
  <c r="F33" i="29"/>
  <c r="E33"/>
  <c r="D33"/>
  <c r="F12" i="32"/>
  <c r="D12"/>
  <c r="D15"/>
  <c r="F15"/>
  <c r="I20" i="35"/>
  <c r="I18"/>
  <c r="I16"/>
  <c r="I15"/>
  <c r="I14"/>
  <c r="I13"/>
  <c r="F20"/>
  <c r="F18"/>
  <c r="F16"/>
  <c r="F15"/>
  <c r="F14"/>
  <c r="F13"/>
  <c r="L19" i="33"/>
  <c r="L17"/>
  <c r="L15"/>
  <c r="L14"/>
  <c r="L13"/>
  <c r="L12"/>
  <c r="J19"/>
  <c r="J17"/>
  <c r="J15"/>
  <c r="J14"/>
  <c r="J13"/>
  <c r="J12"/>
  <c r="H17"/>
  <c r="H19"/>
  <c r="H15"/>
  <c r="H14"/>
  <c r="H12"/>
  <c r="H13"/>
  <c r="F19"/>
  <c r="F17"/>
  <c r="F15"/>
  <c r="F14"/>
  <c r="F13"/>
  <c r="F12"/>
  <c r="D13"/>
  <c r="D14"/>
  <c r="D15"/>
  <c r="D17"/>
  <c r="D19"/>
  <c r="D12"/>
  <c r="K16"/>
  <c r="I16"/>
  <c r="G16"/>
  <c r="E16"/>
  <c r="C16"/>
  <c r="B16"/>
  <c r="F21" i="34"/>
  <c r="G21"/>
  <c r="F20"/>
  <c r="F19"/>
  <c r="G19"/>
  <c r="F18"/>
  <c r="G18"/>
  <c r="F17"/>
  <c r="G17"/>
  <c r="F16"/>
  <c r="G16"/>
  <c r="F15"/>
  <c r="G15"/>
  <c r="F14"/>
  <c r="G14"/>
  <c r="E21"/>
  <c r="E20"/>
  <c r="E19"/>
  <c r="E18"/>
  <c r="E17"/>
  <c r="E16"/>
  <c r="E15"/>
  <c r="E14"/>
  <c r="C21"/>
  <c r="C20"/>
  <c r="C19"/>
  <c r="C18"/>
  <c r="C17"/>
  <c r="C16"/>
  <c r="C15"/>
  <c r="C14"/>
  <c r="J20" i="35"/>
  <c r="J18"/>
  <c r="J16"/>
  <c r="J15"/>
  <c r="J14"/>
  <c r="J13"/>
  <c r="F19"/>
  <c r="G20"/>
  <c r="G19"/>
  <c r="G18"/>
  <c r="G16"/>
  <c r="G15"/>
  <c r="G14"/>
  <c r="G13"/>
  <c r="C13"/>
  <c r="I19"/>
  <c r="C18"/>
  <c r="C16"/>
  <c r="C15"/>
  <c r="C14"/>
  <c r="C19"/>
  <c r="D14"/>
  <c r="D15"/>
  <c r="D16"/>
  <c r="D18"/>
  <c r="D19"/>
  <c r="D20"/>
  <c r="D13"/>
  <c r="C10" i="47"/>
  <c r="F10"/>
  <c r="E10"/>
  <c r="D10"/>
  <c r="D9"/>
  <c r="E42" i="11"/>
  <c r="H42"/>
  <c r="E48"/>
  <c r="H48"/>
  <c r="E38"/>
  <c r="H38"/>
  <c r="E36"/>
  <c r="H36"/>
  <c r="H35"/>
  <c r="E35"/>
  <c r="E39"/>
  <c r="G50"/>
  <c r="F50"/>
  <c r="H50"/>
  <c r="G49"/>
  <c r="F49"/>
  <c r="J49"/>
  <c r="E49"/>
  <c r="H49"/>
  <c r="G48"/>
  <c r="F48"/>
  <c r="G47"/>
  <c r="F47"/>
  <c r="E47"/>
  <c r="H47"/>
  <c r="G46"/>
  <c r="F46"/>
  <c r="E46"/>
  <c r="H46"/>
  <c r="J46"/>
  <c r="G45"/>
  <c r="F45"/>
  <c r="E45"/>
  <c r="G44"/>
  <c r="F44"/>
  <c r="E44"/>
  <c r="G43"/>
  <c r="F43"/>
  <c r="E43"/>
  <c r="E41"/>
  <c r="G42"/>
  <c r="F42"/>
  <c r="G40"/>
  <c r="F40"/>
  <c r="J40"/>
  <c r="E40"/>
  <c r="H40"/>
  <c r="G38"/>
  <c r="F38"/>
  <c r="J38"/>
  <c r="G37"/>
  <c r="F37"/>
  <c r="J37"/>
  <c r="E37"/>
  <c r="H37"/>
  <c r="G36"/>
  <c r="F36"/>
  <c r="D41"/>
  <c r="G41"/>
  <c r="C41"/>
  <c r="F41"/>
  <c r="B41"/>
  <c r="D35"/>
  <c r="D39"/>
  <c r="G39"/>
  <c r="C35"/>
  <c r="C39"/>
  <c r="F39"/>
  <c r="B35"/>
  <c r="B39"/>
  <c r="H23"/>
  <c r="E23"/>
  <c r="B23"/>
  <c r="H32"/>
  <c r="E32"/>
  <c r="B32"/>
  <c r="H20"/>
  <c r="E20"/>
  <c r="B20"/>
  <c r="J13"/>
  <c r="J14"/>
  <c r="J17"/>
  <c r="J19"/>
  <c r="J20"/>
  <c r="J22"/>
  <c r="J23"/>
  <c r="J24"/>
  <c r="J32"/>
  <c r="J25"/>
  <c r="J26"/>
  <c r="J27"/>
  <c r="J28"/>
  <c r="J29"/>
  <c r="J30"/>
  <c r="J31"/>
  <c r="J12"/>
  <c r="J11"/>
  <c r="E15"/>
  <c r="H16"/>
  <c r="H15"/>
  <c r="E16"/>
  <c r="B16"/>
  <c r="J16"/>
  <c r="H18"/>
  <c r="E18"/>
  <c r="B18"/>
  <c r="H21"/>
  <c r="H10"/>
  <c r="H33"/>
  <c r="E21"/>
  <c r="B21"/>
  <c r="H46" i="38"/>
  <c r="I46"/>
  <c r="K46"/>
  <c r="G26"/>
  <c r="G14"/>
  <c r="H14"/>
  <c r="G44"/>
  <c r="H44"/>
  <c r="G42"/>
  <c r="H42"/>
  <c r="G40"/>
  <c r="H40"/>
  <c r="G39"/>
  <c r="H39"/>
  <c r="I39"/>
  <c r="G38"/>
  <c r="G37"/>
  <c r="G36"/>
  <c r="H36"/>
  <c r="G35"/>
  <c r="H35"/>
  <c r="G32"/>
  <c r="H32"/>
  <c r="G27"/>
  <c r="H27"/>
  <c r="I27"/>
  <c r="G22"/>
  <c r="H22"/>
  <c r="G21"/>
  <c r="H21"/>
  <c r="I21"/>
  <c r="G20"/>
  <c r="H20"/>
  <c r="G18"/>
  <c r="H18"/>
  <c r="K43"/>
  <c r="G33"/>
  <c r="H33"/>
  <c r="H26"/>
  <c r="G45"/>
  <c r="H45"/>
  <c r="G41"/>
  <c r="F41"/>
  <c r="E41"/>
  <c r="D41"/>
  <c r="C41"/>
  <c r="F34"/>
  <c r="E34"/>
  <c r="D34"/>
  <c r="C34"/>
  <c r="G25"/>
  <c r="G24"/>
  <c r="F25"/>
  <c r="E25"/>
  <c r="E24"/>
  <c r="E47"/>
  <c r="D25"/>
  <c r="D24"/>
  <c r="D47"/>
  <c r="C25"/>
  <c r="C24"/>
  <c r="C47"/>
  <c r="F24"/>
  <c r="K23"/>
  <c r="G19"/>
  <c r="F19"/>
  <c r="E19"/>
  <c r="D19"/>
  <c r="C19"/>
  <c r="G17"/>
  <c r="F17"/>
  <c r="E17"/>
  <c r="D17"/>
  <c r="C17"/>
  <c r="F13"/>
  <c r="F47"/>
  <c r="E13"/>
  <c r="D13"/>
  <c r="C13"/>
  <c r="K36" i="33"/>
  <c r="K31"/>
  <c r="I36"/>
  <c r="I31"/>
  <c r="G36"/>
  <c r="G31"/>
  <c r="C35"/>
  <c r="E31"/>
  <c r="B35"/>
  <c r="B29"/>
  <c r="D69" i="35"/>
  <c r="C69"/>
  <c r="B69"/>
  <c r="B16" i="47"/>
  <c r="C23"/>
  <c r="C26"/>
  <c r="B32"/>
  <c r="C32"/>
  <c r="D32"/>
  <c r="E32"/>
  <c r="F32"/>
  <c r="C5"/>
  <c r="C8"/>
  <c r="B9" i="45"/>
  <c r="B20"/>
  <c r="B22"/>
  <c r="E14" i="46"/>
  <c r="F11"/>
  <c r="F14"/>
  <c r="G11"/>
  <c r="H11"/>
  <c r="E15"/>
  <c r="F15"/>
  <c r="G15"/>
  <c r="H15"/>
  <c r="E16"/>
  <c r="F16"/>
  <c r="G16"/>
  <c r="H16"/>
  <c r="E17"/>
  <c r="F17"/>
  <c r="G17"/>
  <c r="H17"/>
  <c r="E18"/>
  <c r="F18"/>
  <c r="G18"/>
  <c r="H18"/>
  <c r="E19"/>
  <c r="F19"/>
  <c r="G19"/>
  <c r="H19"/>
  <c r="E20"/>
  <c r="F20"/>
  <c r="G20"/>
  <c r="H20"/>
  <c r="E21"/>
  <c r="F21"/>
  <c r="G21"/>
  <c r="H21"/>
  <c r="E22"/>
  <c r="F22"/>
  <c r="G22"/>
  <c r="H22"/>
  <c r="E23"/>
  <c r="F23"/>
  <c r="G23"/>
  <c r="H23"/>
  <c r="E24"/>
  <c r="F24"/>
  <c r="G24"/>
  <c r="H24"/>
  <c r="E25"/>
  <c r="F25"/>
  <c r="G25"/>
  <c r="H25"/>
  <c r="D26"/>
  <c r="C26"/>
  <c r="B26"/>
  <c r="H17" i="35"/>
  <c r="J17"/>
  <c r="E17"/>
  <c r="F17"/>
  <c r="B17"/>
  <c r="C17"/>
  <c r="D17"/>
  <c r="H37" i="38"/>
  <c r="I37"/>
  <c r="K37"/>
  <c r="I26"/>
  <c r="K26"/>
  <c r="H38"/>
  <c r="I38"/>
  <c r="K38"/>
  <c r="G13"/>
  <c r="G47"/>
  <c r="G34"/>
  <c r="I33"/>
  <c r="K33"/>
  <c r="I32"/>
  <c r="H25"/>
  <c r="K32"/>
  <c r="B33" i="47"/>
  <c r="B17"/>
  <c r="E10" i="11"/>
  <c r="E33"/>
  <c r="B15"/>
  <c r="J15"/>
  <c r="H43"/>
  <c r="J43"/>
  <c r="H44"/>
  <c r="J44"/>
  <c r="H45"/>
  <c r="J45"/>
  <c r="J36"/>
  <c r="B51"/>
  <c r="J21"/>
  <c r="B10"/>
  <c r="B33"/>
  <c r="J18"/>
  <c r="E51"/>
  <c r="E52"/>
  <c r="J42"/>
  <c r="C16" i="47"/>
  <c r="D16"/>
  <c r="E16"/>
  <c r="F16"/>
  <c r="D23"/>
  <c r="D26"/>
  <c r="C33"/>
  <c r="C34"/>
  <c r="J31" i="33"/>
  <c r="C28"/>
  <c r="G28"/>
  <c r="H28"/>
  <c r="K28"/>
  <c r="L28"/>
  <c r="B28"/>
  <c r="E28"/>
  <c r="I28"/>
  <c r="H31"/>
  <c r="L31"/>
  <c r="F28"/>
  <c r="H16"/>
  <c r="L16"/>
  <c r="B30"/>
  <c r="B26"/>
  <c r="B31"/>
  <c r="C25"/>
  <c r="C27"/>
  <c r="D27"/>
  <c r="C29"/>
  <c r="D29"/>
  <c r="E25"/>
  <c r="F25"/>
  <c r="E27"/>
  <c r="F27"/>
  <c r="E29"/>
  <c r="F29"/>
  <c r="G25"/>
  <c r="H25"/>
  <c r="G27"/>
  <c r="H27"/>
  <c r="G29"/>
  <c r="H29"/>
  <c r="I25"/>
  <c r="J25"/>
  <c r="I27"/>
  <c r="J27"/>
  <c r="I29"/>
  <c r="J29"/>
  <c r="K25"/>
  <c r="L25"/>
  <c r="K27"/>
  <c r="L27"/>
  <c r="K29"/>
  <c r="L29"/>
  <c r="K24"/>
  <c r="D16"/>
  <c r="F16"/>
  <c r="J16"/>
  <c r="B24"/>
  <c r="B25"/>
  <c r="D25"/>
  <c r="B27"/>
  <c r="C24"/>
  <c r="D24"/>
  <c r="C26"/>
  <c r="D26"/>
  <c r="C31"/>
  <c r="D31"/>
  <c r="E24"/>
  <c r="E26"/>
  <c r="F26"/>
  <c r="G24"/>
  <c r="H24"/>
  <c r="G26"/>
  <c r="H26"/>
  <c r="I24"/>
  <c r="J24"/>
  <c r="I26"/>
  <c r="J26"/>
  <c r="K30"/>
  <c r="K26"/>
  <c r="L26"/>
  <c r="F24"/>
  <c r="D28"/>
  <c r="F31"/>
  <c r="I45" i="38"/>
  <c r="K45"/>
  <c r="I20"/>
  <c r="H19"/>
  <c r="K20"/>
  <c r="I22"/>
  <c r="K22"/>
  <c r="I36"/>
  <c r="K36"/>
  <c r="I40"/>
  <c r="K40"/>
  <c r="I44"/>
  <c r="K44"/>
  <c r="B52" i="11"/>
  <c r="E23" i="47"/>
  <c r="E26"/>
  <c r="D33"/>
  <c r="D34"/>
  <c r="G14" i="46"/>
  <c r="F26"/>
  <c r="D5" i="47"/>
  <c r="D8"/>
  <c r="C17"/>
  <c r="C18"/>
  <c r="I18" i="38"/>
  <c r="I17"/>
  <c r="H17"/>
  <c r="K17"/>
  <c r="K18"/>
  <c r="K27"/>
  <c r="I25"/>
  <c r="H34"/>
  <c r="K34"/>
  <c r="I35"/>
  <c r="I34"/>
  <c r="K35"/>
  <c r="H41"/>
  <c r="I42"/>
  <c r="I41"/>
  <c r="I14"/>
  <c r="I13"/>
  <c r="H13"/>
  <c r="J35" i="11"/>
  <c r="H39"/>
  <c r="J39"/>
  <c r="J48"/>
  <c r="H51"/>
  <c r="H52"/>
  <c r="G17" i="35"/>
  <c r="I17"/>
  <c r="J28" i="33"/>
  <c r="H41" i="11"/>
  <c r="J41"/>
  <c r="J10"/>
  <c r="J33"/>
  <c r="E26" i="46"/>
  <c r="K21" i="38"/>
  <c r="K39"/>
  <c r="K13"/>
  <c r="H24"/>
  <c r="I19"/>
  <c r="I47"/>
  <c r="I24"/>
  <c r="K25"/>
  <c r="E5" i="47"/>
  <c r="E8"/>
  <c r="D17"/>
  <c r="D18"/>
  <c r="G26" i="46"/>
  <c r="H14"/>
  <c r="H26"/>
  <c r="E33" i="47"/>
  <c r="E34"/>
  <c r="F23"/>
  <c r="F26"/>
  <c r="F33"/>
  <c r="J51" i="11"/>
  <c r="K14" i="38"/>
  <c r="K42"/>
  <c r="K41"/>
  <c r="K19"/>
  <c r="F34" i="47"/>
  <c r="F5"/>
  <c r="F8"/>
  <c r="F17"/>
  <c r="E17"/>
  <c r="E18"/>
  <c r="K24" i="38"/>
  <c r="K47"/>
  <c r="H47"/>
  <c r="F18" i="47"/>
</calcChain>
</file>

<file path=xl/sharedStrings.xml><?xml version="1.0" encoding="utf-8"?>
<sst xmlns="http://schemas.openxmlformats.org/spreadsheetml/2006/main" count="782" uniqueCount="555">
  <si>
    <t>Resultado Primário (III) = (I - II)</t>
  </si>
  <si>
    <t>Metas Previstas em &lt;Ano-2&gt;</t>
  </si>
  <si>
    <t>Metas Realizadas em &lt;Ano-2&gt;</t>
  </si>
  <si>
    <t>Variação</t>
  </si>
  <si>
    <t>(c) = (b-a)</t>
  </si>
  <si>
    <t>(c/a) x 100</t>
  </si>
  <si>
    <t xml:space="preserve">TOTAL </t>
  </si>
  <si>
    <t>SALDO FINANCEIRO</t>
  </si>
  <si>
    <t xml:space="preserve">RESULTADO PRIMÁRIO (XIX) = (VII - XVIII) </t>
  </si>
  <si>
    <t>EXERCÍCIO</t>
  </si>
  <si>
    <t xml:space="preserve">        Amortização da Dívida</t>
  </si>
  <si>
    <t xml:space="preserve">    Inversões Financeiras</t>
  </si>
  <si>
    <t>Resultado Nominal</t>
  </si>
  <si>
    <t>I - RECEITAS CORRENTES</t>
  </si>
  <si>
    <t>Contribuições dos Servidores Ativos/Inativos/Pensionistas</t>
  </si>
  <si>
    <t>Receitas do Fundo de Assistência Social dos Servidores</t>
  </si>
  <si>
    <t>Receitas do Fundo de Assistência à Saúde dos Servidores</t>
  </si>
  <si>
    <t>II –DEDUÇÕES</t>
  </si>
  <si>
    <t>Outras Contribuições Sociais</t>
  </si>
  <si>
    <t>Anexo II</t>
  </si>
  <si>
    <t>Total</t>
  </si>
  <si>
    <t xml:space="preserve">                                     Anexo I</t>
  </si>
  <si>
    <t>(LRF, art. 4º, § 1)</t>
  </si>
  <si>
    <t>Anexo IV</t>
  </si>
  <si>
    <t>(b) Metodologia de Cálculo</t>
  </si>
  <si>
    <t>(a) Metas de Resultado Nominal, Primário e Dívida Pública</t>
  </si>
  <si>
    <t>Resultado Primário (III) = (I – II)</t>
  </si>
  <si>
    <t xml:space="preserve">Dívida Consolidada Líquida </t>
  </si>
  <si>
    <t xml:space="preserve"> (LRF, art. 4º, §2º, inciso I)</t>
  </si>
  <si>
    <t>(LRF, art.4º, §2º, inciso II)</t>
  </si>
  <si>
    <t>(LRF, art.4º, §2º, inciso III)</t>
  </si>
  <si>
    <t>LEIDE DIRETRIZES ORÇAMENTÁRIAS</t>
  </si>
  <si>
    <t>LEI DE DIRETRIZES ORÇMENTÁRIAS</t>
  </si>
  <si>
    <t>(LRF, art.4º, §2º, inciso IV, alínea a)</t>
  </si>
  <si>
    <t>(g) Avaliação da situação financeira e atuarial do regime próprio de previdência dos servidores públicos</t>
  </si>
  <si>
    <t>(c) = (a-b)</t>
  </si>
  <si>
    <t xml:space="preserve">        Receita Patrimonial</t>
  </si>
  <si>
    <t xml:space="preserve">        (-) Aplicações Financeiras</t>
  </si>
  <si>
    <t xml:space="preserve">        Dívida Ativa</t>
  </si>
  <si>
    <t xml:space="preserve">        Diversas Receitas Correntes</t>
  </si>
  <si>
    <t xml:space="preserve">        Convênios</t>
  </si>
  <si>
    <t xml:space="preserve">        Outras Transferências de Capital</t>
  </si>
  <si>
    <t xml:space="preserve">    Receita Patrimonial Líquida</t>
  </si>
  <si>
    <t xml:space="preserve">    Demais Receitas Correntes</t>
  </si>
  <si>
    <t xml:space="preserve">    Operações de Crédito (III)</t>
  </si>
  <si>
    <t xml:space="preserve">    Amortização de Empréstimos (IV)</t>
  </si>
  <si>
    <t xml:space="preserve">    Transferências de Capital</t>
  </si>
  <si>
    <t xml:space="preserve">    Juros e Encargos da Dívida (IX)</t>
  </si>
  <si>
    <t xml:space="preserve">        Concessão de Empréstimos (XII)</t>
  </si>
  <si>
    <t xml:space="preserve">        Aquisição de Título de Capital já Integralizado (XIII)</t>
  </si>
  <si>
    <t xml:space="preserve">        Demais Inversões Financeiras</t>
  </si>
  <si>
    <t xml:space="preserve">    Investimentos</t>
  </si>
  <si>
    <t xml:space="preserve">    Amortização da Dívida (XIV)</t>
  </si>
  <si>
    <t>RESERVA DO RPPS (XVII)</t>
  </si>
  <si>
    <t xml:space="preserve">    Alienação de Bens  (V)</t>
  </si>
  <si>
    <t xml:space="preserve">    Receitas de Contribuições</t>
  </si>
  <si>
    <t>RECEITAS REALIZADAS</t>
  </si>
  <si>
    <t>%</t>
  </si>
  <si>
    <t>(a)</t>
  </si>
  <si>
    <t>(b)</t>
  </si>
  <si>
    <t>(c)</t>
  </si>
  <si>
    <t>RECEITAS PRIMÁRIAS</t>
  </si>
  <si>
    <t xml:space="preserve">    Receitas Tributárias</t>
  </si>
  <si>
    <t xml:space="preserve">        Receitas Previdenciárias</t>
  </si>
  <si>
    <t xml:space="preserve">        Outras Receitas de Contribuições</t>
  </si>
  <si>
    <t>RECEITA PRIMÁRIA TOTAL  (VII) = (I + VI)</t>
  </si>
  <si>
    <t>DESPESAS PRIMÁRIAS</t>
  </si>
  <si>
    <t>DESPESAS PRIMÁRIAS CORRENTES (X) = (VIII - IX)</t>
  </si>
  <si>
    <t>DESPESAS PRIMÁRIAS DE CAPITAL (XV) = (XI - XII - XIII - XIV)</t>
  </si>
  <si>
    <t>DESPESA PRIMÁRIA TOTAL (XVIII) = (X + XV + XVI + XVII)</t>
  </si>
  <si>
    <t xml:space="preserve">        Alienação de Bens Móveis</t>
  </si>
  <si>
    <t xml:space="preserve">        Alienação de Bens Imóveis</t>
  </si>
  <si>
    <t>(e)</t>
  </si>
  <si>
    <t>FONTE:</t>
  </si>
  <si>
    <t>RECEITAS PRIMÁRIAS CORRENTES (I)</t>
  </si>
  <si>
    <t>RECEITAS PRIMÁRIAS DE CAPITAL (VI) = (II - III - IV - V)</t>
  </si>
  <si>
    <t>TOTAL</t>
  </si>
  <si>
    <t>DEMONSTRATIVO DA RECEITA CORRENTE LÍQUIDA</t>
  </si>
  <si>
    <t>ESPECIFICAÇÃO</t>
  </si>
  <si>
    <t xml:space="preserve">    Transferências Correntes</t>
  </si>
  <si>
    <t xml:space="preserve">        Outras Transferências Correntes</t>
  </si>
  <si>
    <t>LEI DE DIRETRIZES ORÇAMENTÁRIAS</t>
  </si>
  <si>
    <t>ANEXO DE  METAS FISCAIS</t>
  </si>
  <si>
    <t>Valor</t>
  </si>
  <si>
    <t>% PIB</t>
  </si>
  <si>
    <t>Corrente</t>
  </si>
  <si>
    <t>Constante</t>
  </si>
  <si>
    <t>(a / PIB)</t>
  </si>
  <si>
    <t>(b / PIB)</t>
  </si>
  <si>
    <t>(c / PIB)</t>
  </si>
  <si>
    <t>x 100</t>
  </si>
  <si>
    <t>Despesas Primárias (II)</t>
  </si>
  <si>
    <t>Resultado Primário (III) = (I–II)</t>
  </si>
  <si>
    <t xml:space="preserve">        Regimes Próprios dos Servidores Públicos  </t>
  </si>
  <si>
    <t xml:space="preserve">   Novas DOCC geradas por PPP</t>
  </si>
  <si>
    <t>Margem Líquida de Expansão de DOCC (V) = (III-IV)</t>
  </si>
  <si>
    <t>Receita Total</t>
  </si>
  <si>
    <t>Receitas Primárias (I)</t>
  </si>
  <si>
    <t>Despesa Total</t>
  </si>
  <si>
    <t xml:space="preserve">Dívida Pública Consolidada </t>
  </si>
  <si>
    <t>Dívida Consolidada Líquida</t>
  </si>
  <si>
    <t>VALORES A PREÇOS CORRENTES</t>
  </si>
  <si>
    <t>Dívida Pública Consolidada</t>
  </si>
  <si>
    <t>VALORES A PREÇOS CONSTANTES</t>
  </si>
  <si>
    <t>PATRIMÔNIO LÍQUIDO</t>
  </si>
  <si>
    <t>Patrimônio/Capital</t>
  </si>
  <si>
    <t>Reservas</t>
  </si>
  <si>
    <t>Resultado Acumulado</t>
  </si>
  <si>
    <t xml:space="preserve">   DESPESAS DE CAPITAL</t>
  </si>
  <si>
    <t xml:space="preserve">         Investimentos</t>
  </si>
  <si>
    <t xml:space="preserve">         Inversões Financeiras</t>
  </si>
  <si>
    <t xml:space="preserve">    DESPESAS CORRENTES DOS REGIMES DE PREVID.</t>
  </si>
  <si>
    <t xml:space="preserve">        Regime Geral de Previdência Social</t>
  </si>
  <si>
    <t>RECEITAS E DESPESAS PREVIDENCIÁRIAS DO RPPS</t>
  </si>
  <si>
    <t>PROJEÇÃO ATUARIAL DO RPPS</t>
  </si>
  <si>
    <t>RENÚNCIA DE RECEITA PREVISTA</t>
  </si>
  <si>
    <t>COMPENSAÇÃO</t>
  </si>
  <si>
    <t xml:space="preserve">          -</t>
  </si>
  <si>
    <t>EVENTO</t>
  </si>
  <si>
    <t xml:space="preserve">Aumento Permanente da Receita  </t>
  </si>
  <si>
    <t>(-)  Aumento referente a transferências constitucionais</t>
  </si>
  <si>
    <t>Saldo Final do Aumento Permanente de Receita  (I)</t>
  </si>
  <si>
    <t>Redução Permanente de Despesa (II)</t>
  </si>
  <si>
    <t>Margem Bruta  (III) = (I+II)</t>
  </si>
  <si>
    <t>Saldo Utilizado da Margem Bruta (IV)</t>
  </si>
  <si>
    <t xml:space="preserve">   Novas DOCC</t>
  </si>
  <si>
    <t>RECEITAS PREVIDENCIÁRIAS</t>
  </si>
  <si>
    <t xml:space="preserve">    Outras Receitas de Capital</t>
  </si>
  <si>
    <t xml:space="preserve">    Pessoal e Encargos Sociais</t>
  </si>
  <si>
    <t xml:space="preserve">    Outras Despesas Correntes</t>
  </si>
  <si>
    <t>RECEITAS DE CAPITAL (II)</t>
  </si>
  <si>
    <t>DESPESAS CORRENTES (VIII)</t>
  </si>
  <si>
    <t>DESPESAS DE CAPITAL (XI)</t>
  </si>
  <si>
    <t>RESERVA DE CONTINGÊNCIA (XVI)</t>
  </si>
  <si>
    <t xml:space="preserve">SALDO FINANCEIRO </t>
  </si>
  <si>
    <t>DO EXERCÍCIO</t>
  </si>
  <si>
    <t>ANEXO DE METAS FISCAIS</t>
  </si>
  <si>
    <t>(LRF, art. 4°, § 2°, inciso V)</t>
  </si>
  <si>
    <t>ANEXO DE RISCOS FISCAIS</t>
  </si>
  <si>
    <t>DEMONSTRATIVO DE RISCOS FISCAIS E PROVIDÊNCIAS</t>
  </si>
  <si>
    <t>RISCOS FISCAIS</t>
  </si>
  <si>
    <t>PROVIDÊNCIAS</t>
  </si>
  <si>
    <t>Descrição</t>
  </si>
  <si>
    <t>Anexo V</t>
  </si>
  <si>
    <t>(LRF, art 4º, § 3º)</t>
  </si>
  <si>
    <t>Previsão para conclusão</t>
  </si>
  <si>
    <t>Anexo VI</t>
  </si>
  <si>
    <t>Cargos</t>
  </si>
  <si>
    <t>Legislação</t>
  </si>
  <si>
    <t>Padrão de Remuneração</t>
  </si>
  <si>
    <t>De provimento efetivo</t>
  </si>
  <si>
    <t>Em comissão</t>
  </si>
  <si>
    <t>Empregos</t>
  </si>
  <si>
    <t>Funções de Confiança</t>
  </si>
  <si>
    <t>Planejamento da Despesa com Pessoal</t>
  </si>
  <si>
    <t>Exec/Ind.</t>
  </si>
  <si>
    <t>RPPS</t>
  </si>
  <si>
    <t>Variação Passiva</t>
  </si>
  <si>
    <t>(-) amortização</t>
  </si>
  <si>
    <t>DÍVIDA CONSOLIDADA DO RPPS INCLUSIVE AS PROVISÕES MATEMÁTICAS PREVIDENCIÁRIAS</t>
  </si>
  <si>
    <t>Valor R$ 1,00</t>
  </si>
  <si>
    <t>(-)  Aumento referente a transferências do FUNDEB</t>
  </si>
  <si>
    <t>Compensações Financeiras entre o RGPS e o RPPS</t>
  </si>
  <si>
    <t>Receitas do RPPS – Aplicações em Títulos, Rem. e Outras Receitas</t>
  </si>
  <si>
    <t>RECEITA PATRIMONIAL</t>
  </si>
  <si>
    <t>RECEITA DE SERVIÇOS</t>
  </si>
  <si>
    <t>OUTRAS RECEITAS CORRENTES</t>
  </si>
  <si>
    <t>(Art. 12 da LC nº 101/2.000 e art.  22, III, "a", "b" e "c" da Lei 4.320/64 )</t>
  </si>
  <si>
    <t>Demonstrativo dos Projetos em Andamento e Informações sobre o Patrimônio Público</t>
  </si>
  <si>
    <t>Notas: A dívida pública é sem duplicidade, logo, dívidas entre órgãos e fundos não são consideradas.</t>
  </si>
  <si>
    <t>LC nº 101, art. 12 e Manual das Receitas STN 4ª edição</t>
  </si>
  <si>
    <t>Cód. da Receita:</t>
  </si>
  <si>
    <t>Preço:.....................................................................................................................................</t>
  </si>
  <si>
    <t>Quantidade:...........................................................................................................................</t>
  </si>
  <si>
    <t>Legislação:............................................................................................................................</t>
  </si>
  <si>
    <t>Total Crescimento:.................................................................................................................</t>
  </si>
  <si>
    <t>Mês</t>
  </si>
  <si>
    <t>janeiro</t>
  </si>
  <si>
    <t>fevereiro</t>
  </si>
  <si>
    <t>março</t>
  </si>
  <si>
    <t>abril</t>
  </si>
  <si>
    <t>maio</t>
  </si>
  <si>
    <t>junho</t>
  </si>
  <si>
    <t>julho</t>
  </si>
  <si>
    <t>agosto</t>
  </si>
  <si>
    <t>setembro</t>
  </si>
  <si>
    <t>outubro</t>
  </si>
  <si>
    <t>novembro</t>
  </si>
  <si>
    <t>dezembro</t>
  </si>
  <si>
    <t xml:space="preserve">Notas: </t>
  </si>
  <si>
    <t>d) índice de Legislação significa o percentual de aumento de alíquota em relação ao ano anterior. Caso não haja coloque 1,00.</t>
  </si>
  <si>
    <t xml:space="preserve">    devem figurar no orçamento por estas estimativas, desprezando-se esta metodologia de previsão conforme os índices, porém igualmente devem ser</t>
  </si>
  <si>
    <t>Anexo I</t>
  </si>
  <si>
    <t xml:space="preserve">c) índice de quantidade corresponde ao % de crescimento real da receita. Ex: ICMS aumentará 10% em relação ano anterior (Caso não haja coloque 1,00) </t>
  </si>
  <si>
    <t xml:space="preserve">    justificadas a sua previsão e possuir periodicidade mensal.</t>
  </si>
  <si>
    <t>a) Previsão da Receita</t>
  </si>
  <si>
    <t>b) METODOLOGIA DE CÁLCULO DA RECEITA</t>
  </si>
  <si>
    <t xml:space="preserve">com o mesmo código da conta substituindo-se o dígito "4" pelo "9" e, assim, neste demonstrativo, </t>
  </si>
  <si>
    <t>figura nas "outras deduções".</t>
  </si>
  <si>
    <t>Notas:</t>
  </si>
  <si>
    <t xml:space="preserve">a) As deduções com o Fundeb, já que são contas redutoras da receita, devem ser contabilizadas </t>
  </si>
  <si>
    <t>b) Os estornos de restos a pagar não são considerados no orçamento.</t>
  </si>
  <si>
    <t>f) Esta metodologia deve ser adotada para as principais receitas e grupos de receitas com características semelhantes (origem).</t>
  </si>
  <si>
    <t>Totais</t>
  </si>
  <si>
    <t>Criação - Nº cargos</t>
  </si>
  <si>
    <t>Ocupação - Nº cargos</t>
  </si>
  <si>
    <t>Aumento em R$ ref criação e ocupação</t>
  </si>
  <si>
    <t>Aumentos reais previstos</t>
  </si>
  <si>
    <t>Total ref. Aumento de despesa com pessoal</t>
  </si>
  <si>
    <t>TRIBUTO</t>
  </si>
  <si>
    <t>MODALIDADE</t>
  </si>
  <si>
    <t>SETORES/ PROGRAMAS/ BENEFICIÁRIO</t>
  </si>
  <si>
    <t xml:space="preserve"> (LRF, art. 4°, § 2°, inciso V)</t>
  </si>
  <si>
    <t>Cargos Existentes</t>
  </si>
  <si>
    <t>Cargos Ocupados</t>
  </si>
  <si>
    <t>Cargos Vagos</t>
  </si>
  <si>
    <t>Dívida Consolidada</t>
  </si>
  <si>
    <t>saldo final dívida consolidada</t>
  </si>
  <si>
    <t xml:space="preserve"> - Passivo Financeiro</t>
  </si>
  <si>
    <t xml:space="preserve"> + Disponibilidades</t>
  </si>
  <si>
    <t xml:space="preserve"> = Situação Financeira</t>
  </si>
  <si>
    <t xml:space="preserve"> = Dívida Líquida</t>
  </si>
  <si>
    <t>Receitas totais ano</t>
  </si>
  <si>
    <t>Despesas totais ano (sem reserva)</t>
  </si>
  <si>
    <t xml:space="preserve">   (utilização do superávit)</t>
  </si>
  <si>
    <t xml:space="preserve">   a) Despesas orçamentárias sem reserva cont.</t>
  </si>
  <si>
    <t>b) Créditos adicionais por superávit</t>
  </si>
  <si>
    <t>c) Pgto de restos a pagar c/ insuficiência fin.</t>
  </si>
  <si>
    <t>(-) Passivo Financeiro</t>
  </si>
  <si>
    <t>(+) Disponibilidades</t>
  </si>
  <si>
    <t>Gastos totais ano</t>
  </si>
  <si>
    <t>a) em 2009 foi feita a estimativa segundo os últimos 3 exercícios. Entretanto, havendo previsão de valores mais confiáveis deve-se adotar esta previsão.</t>
  </si>
  <si>
    <t>b) índice de preço corresponde à inflação projetada para o exercício. A base para 2010/2012 é de 4,5% ao ano (projetado pela União na sua LDO).</t>
  </si>
  <si>
    <t xml:space="preserve">e) as receitas que possuam estimativas confiáveis para 2010/2012 (IPTU pode ser um exemplo, dependendo dos controles do município) </t>
  </si>
  <si>
    <t>IRRF sobre Rendimento do Trabalho*</t>
  </si>
  <si>
    <t>Cancelamento de restos a pagar (quando lançado ainda como receita)</t>
  </si>
  <si>
    <t>Deduções de receitas de Fundeb (característica peculiar 105)</t>
  </si>
  <si>
    <t>III-Subtotal</t>
  </si>
  <si>
    <t>IV- (+)Perda para o Fundeb</t>
  </si>
  <si>
    <t>V - RECEITA CORRENTE LÍQUIDA (I-II+III)</t>
  </si>
  <si>
    <t>c) Demonstrativo como base a IN 35/2008 atualizada pela IN 03/2009 TCERS</t>
  </si>
  <si>
    <t>Outras Deduções de Receitas (CP 101, 102, 103, 104, 106, 108 E 109 )</t>
  </si>
  <si>
    <t>Cálculo Valor Constante</t>
  </si>
  <si>
    <t>Inflação Projetada</t>
  </si>
  <si>
    <t>OBS: No quadro acima foi considerado os valores constantes do manual da STN</t>
  </si>
  <si>
    <t xml:space="preserve">apenas para conferência. Considerar os valores de inflação da LDO da </t>
  </si>
  <si>
    <t>União que fora de 4,5 ao ano e, os valores correntes apurados na LDO</t>
  </si>
  <si>
    <t xml:space="preserve">do Município. Este "rascunho" não precisa aparecer no demonstrativo, é apenas didático e </t>
  </si>
  <si>
    <t>com a finalidade de facilitar o cálculo.</t>
  </si>
  <si>
    <t>Variação Passiva (juros e encargos)</t>
  </si>
  <si>
    <t>Anexo III - Anexo de Metas Fiscais</t>
  </si>
  <si>
    <t>(d) Avaliação do cumprimento das metas fiscais do exercício anterior</t>
  </si>
  <si>
    <t>Anexo III</t>
  </si>
  <si>
    <t>(c ) MEMÓRIA DE CÁLCULO RESULTADO NOMINAL</t>
  </si>
  <si>
    <t>Dívida Consolidada*</t>
  </si>
  <si>
    <t>Multiplicar o valor corrente por....................</t>
  </si>
  <si>
    <t>Dividir o valor corrente por............................</t>
  </si>
  <si>
    <t>Inflação (IPCA)</t>
  </si>
  <si>
    <t>OBS: IPCA de 2007 e de 2008 cfe site do IBGE e 2009 a 2012 cfe projeção na LDO da União</t>
  </si>
  <si>
    <t>P. 36 do MTDF - Manual de Gestão Fiscal, comentários ao Demonstrativo da Dívida Consolidada Líquida</t>
  </si>
  <si>
    <t>(f) Evolução do Patrimônio Líquido</t>
  </si>
  <si>
    <t>(e) Metas fiscais atuais comparadas com as fixadas nos três exercícios anteriores</t>
  </si>
  <si>
    <t xml:space="preserve">Anexo III </t>
  </si>
  <si>
    <t>(g) Origem e aplicação dos recursos obtidos com a alienação de ativos</t>
  </si>
  <si>
    <t>2008
(a)</t>
  </si>
  <si>
    <t>( c)</t>
  </si>
  <si>
    <t>2007
(b)</t>
  </si>
  <si>
    <t>(d)</t>
  </si>
  <si>
    <t>(f)</t>
  </si>
  <si>
    <t>(g) = ((Ia – IId) + IIIh)</t>
  </si>
  <si>
    <t>(h) = ((Ib – IIe) + IIIi)</t>
  </si>
  <si>
    <t>(i) = (Ic – IIf)</t>
  </si>
  <si>
    <t>RECEITAS DE CAPITAL – ALIENAÇÃO DE ATIVOS (I)</t>
  </si>
  <si>
    <t>DESPESAS EXECUTADAS</t>
  </si>
  <si>
    <t>APLICAÇÃO DOS RECURSOS DA ALIENAÇÃO DE ATIVOS (II)</t>
  </si>
  <si>
    <t>Valor (III)</t>
  </si>
  <si>
    <t>RECEITAS PREVIDENCIÁRIAS - RPPS (EXCETO INTRA-ORÇAMENTÁRIAS) (I)</t>
  </si>
  <si>
    <t xml:space="preserve">   RECEITAS CORRENTES</t>
  </si>
  <si>
    <t xml:space="preserve">      Receita de Contribuições dos Segurados</t>
  </si>
  <si>
    <t xml:space="preserve">         Pessoal Civil</t>
  </si>
  <si>
    <t xml:space="preserve">         Pessoal Militar</t>
  </si>
  <si>
    <t xml:space="preserve">      Outras Receitas de Contribuições</t>
  </si>
  <si>
    <t xml:space="preserve">      Receita Patrimonial</t>
  </si>
  <si>
    <t xml:space="preserve">      Receita de Serviços </t>
  </si>
  <si>
    <t xml:space="preserve">      Outras Receitas Correntes</t>
  </si>
  <si>
    <t xml:space="preserve">         Compensação Previdenciária do RGPS para o RPPS</t>
  </si>
  <si>
    <t xml:space="preserve">         Outras Receitas Correntes</t>
  </si>
  <si>
    <t xml:space="preserve">   RECEITAS DE CAPITAL</t>
  </si>
  <si>
    <t xml:space="preserve">      Alienação de Bens, Direitos e Ativos</t>
  </si>
  <si>
    <t xml:space="preserve">      Amortização de Empréstimos</t>
  </si>
  <si>
    <t xml:space="preserve">      Outras Receitas de Capital</t>
  </si>
  <si>
    <t xml:space="preserve">   (–) DEDUÇÕES DA RECEITA</t>
  </si>
  <si>
    <t>RECEITAS PREVIDENCIÁRIAS - RPPS (INTRA-ORÇAMENTÁRIAS) (II)</t>
  </si>
  <si>
    <t xml:space="preserve">      Receita de Contribuições</t>
  </si>
  <si>
    <t xml:space="preserve">         Patronal</t>
  </si>
  <si>
    <t xml:space="preserve">            Pessoal Civil</t>
  </si>
  <si>
    <t xml:space="preserve">            Pessoal Militar</t>
  </si>
  <si>
    <t xml:space="preserve">         Cobertura de Déficit Atuarial</t>
  </si>
  <si>
    <t xml:space="preserve">         Regime de Débitos e Parcelamentos</t>
  </si>
  <si>
    <t>TOTAL DAS RECEITAS PREVIDENCIÁRIAS (III) = (I + II)</t>
  </si>
  <si>
    <t>DESPESAS PREVIDENCIÁRIAS - RPPS (EXCETO INTRA-ORÇAMENTÁRIAS) (IV)</t>
  </si>
  <si>
    <t xml:space="preserve">   ADMINISTRAÇÃO</t>
  </si>
  <si>
    <t xml:space="preserve">      Despesas Correntes</t>
  </si>
  <si>
    <t xml:space="preserve">      Despesas de Capital</t>
  </si>
  <si>
    <t xml:space="preserve">   PREVIDÊNCIA</t>
  </si>
  <si>
    <t xml:space="preserve">      Pessoal Civil</t>
  </si>
  <si>
    <t xml:space="preserve">      Pessoal Militar   </t>
  </si>
  <si>
    <t xml:space="preserve">      Outras Despesas Previdenciárias</t>
  </si>
  <si>
    <t xml:space="preserve">         Compensação Previdenciária do RPPS para o RGPS</t>
  </si>
  <si>
    <t xml:space="preserve">         Demais Despesas Previdenciárias</t>
  </si>
  <si>
    <t>DESPESAS PREVIDENCIÁRIAS - RPPS (INTRA-ORÇAMENTÁRIAS) (V)</t>
  </si>
  <si>
    <t>TOTAL DAS DESPESAS PREVIDENCIÁRIAS (VI) = (IV + V)</t>
  </si>
  <si>
    <t>RESULTADO PREVIDENCIÁRIO (VII) = (III – VI)</t>
  </si>
  <si>
    <t>APORTES DE RECURSOS PARA O REGIME PRÓPRIO 
DE PREVIDÊNCIA DO SERVIDOR</t>
  </si>
  <si>
    <t>TOTAL DOS APORTES PARA O RPPS</t>
  </si>
  <si>
    <t xml:space="preserve">    Plano Financeiro</t>
  </si>
  <si>
    <t xml:space="preserve">        Recursos para Cobertura de Insuficiências Financeiras</t>
  </si>
  <si>
    <t xml:space="preserve">        Recursos para Formação de Reserva</t>
  </si>
  <si>
    <t xml:space="preserve">        Outros Aportes para o RPPS</t>
  </si>
  <si>
    <t xml:space="preserve">    Plano Previdenciário</t>
  </si>
  <si>
    <t xml:space="preserve">        Recursos para Cobertura de Déficit Financeiro</t>
  </si>
  <si>
    <t xml:space="preserve">        Recursos para Cobertura de Déficit Atuarial</t>
  </si>
  <si>
    <t>RESERVA ORÇAMENTÁRIA DO RPPS</t>
  </si>
  <si>
    <t>BENS E DIREITOS DO RPPS</t>
  </si>
  <si>
    <t>RECEITAS</t>
  </si>
  <si>
    <t>DESPESAS</t>
  </si>
  <si>
    <t>RESULTADO</t>
  </si>
  <si>
    <t>PREVIDENCIÁRIAS</t>
  </si>
  <si>
    <t>PREVIDENCIÁRIO</t>
  </si>
  <si>
    <t xml:space="preserve">(d) = (d Exercício anterior) + (c) </t>
  </si>
  <si>
    <t>Nota: Projeção atuarial elaborada em &lt;DATA DA AVALIAÇÃO&gt;</t>
  </si>
  <si>
    <t xml:space="preserve"> (LRF, art.4º, § 2º, inciso IV, alínea “a”)</t>
  </si>
  <si>
    <t>...</t>
  </si>
  <si>
    <t>Valor Previsto 2.010</t>
  </si>
  <si>
    <t>Previsão Para 2.010</t>
  </si>
  <si>
    <t>Gratificações</t>
  </si>
  <si>
    <t>Quadro para cálculo do valor constante - 
fórmula já pronta- prencha apenas Inflação e Valor Corrente</t>
  </si>
  <si>
    <t>Valor corrente</t>
  </si>
  <si>
    <t>Valor Constante calculado</t>
  </si>
  <si>
    <t>LDO 2010</t>
  </si>
  <si>
    <t>INFLAÇÃO LINEAR ANO DE</t>
  </si>
  <si>
    <t>DESCRIÇÃO</t>
  </si>
  <si>
    <t xml:space="preserve">             RECEITA REALIZADA</t>
  </si>
  <si>
    <t>ESTIMADA</t>
  </si>
  <si>
    <t>PROJEÇÃO</t>
  </si>
  <si>
    <t>ANO 2006</t>
  </si>
  <si>
    <t>ANO 2007</t>
  </si>
  <si>
    <t>ANO 2008</t>
  </si>
  <si>
    <t>ANO 2009</t>
  </si>
  <si>
    <t>ANO 2010</t>
  </si>
  <si>
    <t>ANO 2011</t>
  </si>
  <si>
    <t>ANO 2012</t>
  </si>
  <si>
    <t>RECEITA TRIBUÁRIA</t>
  </si>
  <si>
    <t>IMPOSTOS</t>
  </si>
  <si>
    <t>TAXAS</t>
  </si>
  <si>
    <t>CONTRIBUIÇÃO DE MELHORIA</t>
  </si>
  <si>
    <t>RECEITA DE VALORES IMOBILIARIOS</t>
  </si>
  <si>
    <t>SERVIÇOS DE COMUNICAÇÃO</t>
  </si>
  <si>
    <t>SERVIÇOS DE ADMINISTRATIVOS</t>
  </si>
  <si>
    <t>SERVIÇOS DE CAPT. E DISTR DE ÁGUA</t>
  </si>
  <si>
    <t>OUTROS SERVIÇOS</t>
  </si>
  <si>
    <t>TRANSFERENCIAS CORRENTES</t>
  </si>
  <si>
    <t>TRASFERENCIAS DA UNIÃO</t>
  </si>
  <si>
    <t>COTA-PARTE DO FPM</t>
  </si>
  <si>
    <t>COTA-PARTE DO ITR</t>
  </si>
  <si>
    <t>OUTRAS TRANS DA UNIÃO</t>
  </si>
  <si>
    <t>TRANSF. COM EXPL REC. NAT</t>
  </si>
  <si>
    <t>TRANSF. ICMS/LEI KANDIR</t>
  </si>
  <si>
    <t>TRANSF. REC. DO SUS</t>
  </si>
  <si>
    <t>TRANSF. DO FNAS</t>
  </si>
  <si>
    <t>TRASNF. FNDE</t>
  </si>
  <si>
    <t>TRASFERENCIAS DOS ESTADOS</t>
  </si>
  <si>
    <t>COTA-PARTE DO ICMS</t>
  </si>
  <si>
    <t>COTA-PARTE DO IPVA</t>
  </si>
  <si>
    <t>COTA-PARTE DO IPI EXPORTAÇÃO</t>
  </si>
  <si>
    <t>TRANSF. DA CIDE</t>
  </si>
  <si>
    <t>TRANSF. ESTADO P/PROG SAÚDE</t>
  </si>
  <si>
    <t>OUTRAS TRANSF. DO ESTADO</t>
  </si>
  <si>
    <t>TRASNF. MULTIGOVERNAMENTAIS</t>
  </si>
  <si>
    <t>TRANSF.FUNDEF/FUNDEB</t>
  </si>
  <si>
    <t>TRASNF. DE CONVÊNIOS</t>
  </si>
  <si>
    <t>RECEITA DE CAPITAL</t>
  </si>
  <si>
    <t xml:space="preserve">(-) </t>
  </si>
  <si>
    <t>DEDUÇÕES FUNDEF/FUNDEB</t>
  </si>
  <si>
    <t>TOTAL DAS RECEITAS</t>
  </si>
  <si>
    <t>METOLOGIA DE CÁLCULO:</t>
  </si>
  <si>
    <t xml:space="preserve">b) Metodologia de Cálculo               </t>
  </si>
  <si>
    <r>
      <t> </t>
    </r>
    <r>
      <rPr>
        <b/>
        <u/>
        <sz val="10"/>
        <color indexed="8"/>
        <rFont val="Times New Roman"/>
        <family val="1"/>
      </rPr>
      <t>PIB – 2007 a 2012</t>
    </r>
  </si>
  <si>
    <r>
      <t>2007 -</t>
    </r>
    <r>
      <rPr>
        <sz val="10"/>
        <color indexed="8"/>
        <rFont val="Times New Roman"/>
        <family val="1"/>
      </rPr>
      <t xml:space="preserve"> 177.040.000.000,00</t>
    </r>
  </si>
  <si>
    <r>
      <t>2008 -</t>
    </r>
    <r>
      <rPr>
        <sz val="10"/>
        <color indexed="8"/>
        <rFont val="Times New Roman"/>
        <family val="1"/>
      </rPr>
      <t xml:space="preserve"> 193.485.000.000,00</t>
    </r>
  </si>
  <si>
    <r>
      <t>2009 -</t>
    </r>
    <r>
      <rPr>
        <sz val="10"/>
        <color indexed="8"/>
        <rFont val="Times New Roman"/>
        <family val="1"/>
      </rPr>
      <t xml:space="preserve"> 207.042.000.000,00</t>
    </r>
  </si>
  <si>
    <r>
      <t>2010 -</t>
    </r>
    <r>
      <rPr>
        <sz val="10"/>
        <color indexed="8"/>
        <rFont val="Times New Roman"/>
        <family val="1"/>
      </rPr>
      <t xml:space="preserve"> 226.141.000.000,00</t>
    </r>
  </si>
  <si>
    <r>
      <t>2011 -</t>
    </r>
    <r>
      <rPr>
        <sz val="10"/>
        <color indexed="8"/>
        <rFont val="Times New Roman"/>
        <family val="1"/>
      </rPr>
      <t xml:space="preserve"> 246.951.000.000,00</t>
    </r>
  </si>
  <si>
    <r>
      <t>2012 -</t>
    </r>
    <r>
      <rPr>
        <sz val="10"/>
        <color indexed="8"/>
        <rFont val="Times New Roman"/>
        <family val="1"/>
      </rPr>
      <t xml:space="preserve"> 269.677.000.000,00</t>
    </r>
  </si>
  <si>
    <t>Variações PIB - RS (2009 a 2012)</t>
  </si>
  <si>
    <r>
      <t xml:space="preserve">2009 - </t>
    </r>
    <r>
      <rPr>
        <sz val="10"/>
        <color indexed="8"/>
        <rFont val="Times New Roman"/>
        <family val="1"/>
      </rPr>
      <t>2,00%</t>
    </r>
  </si>
  <si>
    <r>
      <t xml:space="preserve">2010 - </t>
    </r>
    <r>
      <rPr>
        <sz val="10"/>
        <color indexed="8"/>
        <rFont val="Times New Roman"/>
        <family val="1"/>
      </rPr>
      <t>4,5%</t>
    </r>
  </si>
  <si>
    <r>
      <t xml:space="preserve">2011 - </t>
    </r>
    <r>
      <rPr>
        <sz val="10"/>
        <color indexed="8"/>
        <rFont val="Times New Roman"/>
        <family val="1"/>
      </rPr>
      <t>4,5%</t>
    </r>
  </si>
  <si>
    <r>
      <t xml:space="preserve">2012 - </t>
    </r>
    <r>
      <rPr>
        <sz val="10"/>
        <color indexed="8"/>
        <rFont val="Times New Roman"/>
        <family val="1"/>
      </rPr>
      <t>4,5%</t>
    </r>
  </si>
  <si>
    <t>Inflação - IPCA (2009 a 2012)</t>
  </si>
  <si>
    <r>
      <t>2009 -</t>
    </r>
    <r>
      <rPr>
        <sz val="10"/>
        <color indexed="8"/>
        <rFont val="Times New Roman"/>
        <family val="1"/>
      </rPr>
      <t xml:space="preserve"> 4,50%</t>
    </r>
  </si>
  <si>
    <r>
      <t>2010 -</t>
    </r>
    <r>
      <rPr>
        <sz val="10"/>
        <color indexed="8"/>
        <rFont val="Times New Roman"/>
        <family val="1"/>
      </rPr>
      <t xml:space="preserve"> 4,50%</t>
    </r>
  </si>
  <si>
    <r>
      <t>2011 -</t>
    </r>
    <r>
      <rPr>
        <sz val="10"/>
        <color indexed="8"/>
        <rFont val="Times New Roman"/>
        <family val="1"/>
      </rPr>
      <t xml:space="preserve"> 4,50%</t>
    </r>
  </si>
  <si>
    <r>
      <t>2012 –</t>
    </r>
    <r>
      <rPr>
        <sz val="10"/>
        <color indexed="8"/>
        <rFont val="Times New Roman"/>
        <family val="1"/>
      </rPr>
      <t xml:space="preserve"> 4,50%</t>
    </r>
  </si>
  <si>
    <t>a) em 2010 foi feita a estimativa segundo os últimos 3 exercícios. Entretanto, havendo previsão de valores mais confiáveis deve-se adotar esta previsão.</t>
  </si>
  <si>
    <t>d) índice de Legislação significa o percentual de aumento de alíquota em relação ao ano anterior.</t>
  </si>
  <si>
    <t>i) as receitas de transferências do sus e programas do estado foram considerado os valores dos últimos 3 anos, reprojentando o cálculo para o exercício de 2010, para os exercícios futuros</t>
  </si>
  <si>
    <t>foram considerados a taxa de crescimento de 4,5% a.a.</t>
  </si>
  <si>
    <t>Boa Vista do Cadeado, RS, 26 de Agosto de 2009.</t>
  </si>
  <si>
    <t>João Paulo Beltrão dos Santos</t>
  </si>
  <si>
    <t xml:space="preserve">Prefeito Municipal </t>
  </si>
  <si>
    <t>Mauricio da Rosa</t>
  </si>
  <si>
    <t>Contador</t>
  </si>
  <si>
    <t>Fabio Mayer Barasuol</t>
  </si>
  <si>
    <t>Sec. Admin. Planej e Fazenda</t>
  </si>
  <si>
    <t>Projeção do  PIB  (2009 a 2012) conforme LDO 2009 do Estado RS e  o índice de Inflação – IPCA (2005 a 2011) utilizado pela União na elaboração de sua LDO para 2010:</t>
  </si>
  <si>
    <r>
      <t>Fonte:</t>
    </r>
    <r>
      <rPr>
        <sz val="10"/>
        <color indexed="8"/>
        <rFont val="Times New Roman"/>
        <family val="1"/>
      </rPr>
      <t> Secretaria de Planejamento e Gestão do Estado do Rio Grande do Sul</t>
    </r>
  </si>
  <si>
    <t xml:space="preserve">             Fundação de Economia e Estatística do Rio Grande do Sul - FEE</t>
  </si>
  <si>
    <t xml:space="preserve">             LDO 2009 - União</t>
  </si>
  <si>
    <t>NÃO UTILIZADO</t>
  </si>
  <si>
    <t>d) De acordo com a instrução normativas do TCERS, existe um aumento da receita corrente líquida.</t>
  </si>
  <si>
    <t>João Paulo Beltrão dos Santos                       Mauricio da Rosa</t>
  </si>
  <si>
    <t>Prefeito Municipal                                       Contador CRC/RS 68.238 0-6</t>
  </si>
  <si>
    <t xml:space="preserve">          Fabio Mayer Barasuol</t>
  </si>
  <si>
    <t xml:space="preserve">   Sec. Admin, Planej e Fazenda</t>
  </si>
  <si>
    <t>RECEITAS/DESPESAS</t>
  </si>
  <si>
    <t>PREVISÃO SUPERAVIT DO EXERCÍCIO ANTERIOR</t>
  </si>
  <si>
    <t>INPC 4,5%</t>
  </si>
  <si>
    <t xml:space="preserve">                  Prefeito Municipal                                       Contador CRC/RS 68.238</t>
  </si>
  <si>
    <t xml:space="preserve">             Sec. Adm, Plan e Fazenda</t>
  </si>
  <si>
    <t>Boa Vista do Cadeado, RS, 28 de Agosto de 2009.</t>
  </si>
  <si>
    <t xml:space="preserve">                Fabio Mayer Barasuol</t>
  </si>
  <si>
    <t xml:space="preserve">               João Paulo Beltrão dos Santos                      Mauricio da Rosa </t>
  </si>
  <si>
    <t>Metodologia de Cálculo:</t>
  </si>
  <si>
    <t xml:space="preserve">               João Paulo Beltrão dos Santos                     </t>
  </si>
  <si>
    <t xml:space="preserve">                  Prefeito Municipal                                       </t>
  </si>
  <si>
    <t xml:space="preserve">      Mauricio da Rosa</t>
  </si>
  <si>
    <t>Contador CRC/RS 68.238</t>
  </si>
  <si>
    <t xml:space="preserve">Metodologia de Cálculo:        </t>
  </si>
  <si>
    <t>Fonte: Sec. Administração, Planejamento e Fazenda</t>
  </si>
  <si>
    <t>FONTE: Secretaria de Administração, Planejamento e Fazenda</t>
  </si>
  <si>
    <t xml:space="preserve">   Foram considerado para o exercício de 2010, o valor  como referencia ao ativo disponível do exercício de 2008, mais as projeções de arrecadação entre a receita e despesa de 2009;  na presente projeção do exercício apresentamos uma meta do resultado nominal no valor de R$ 298.872,00 valor positivo,  condição em que estamos analisando o disponível  que se verificará ao final de  2009, pelo fato de que a administração municipal através das projeções de redução da arrecadação deste exercício apresenta uma modificação de posição das ações do município, para que não haja comprometimento das metas fiscais, já para exercício de projeção estamos avaliando a necessidade de agir considerando a projeção de 2009. Dessa forma, a meta fiscal do resultado nominal terá modificações de saldo ao final  de sua execução com condições de fazer frente nos primeiros meses do próximo ano. Além disso,  acredita-se em um aumento de arrecadação para exercício de 2010, apresentando um ativo disponível maior do que projetado, certamente, deveremos realizar ações que mantenha as finanças com saldo financeiro positivo. </t>
  </si>
  <si>
    <t>Nota: No presente demonstrativo apresentamos a avaliação das metas comparando os resultados atuais com o projetado para o exercício de 2008, tanto com o que projetamos na  Lei de Diretrizes Orçamentárias e a Lei Orçamentária na situação atualizada até o quadrimestre. Dessa forma na execução do resultado primário apresenta-se uma situação de R$ 680.117,36 valor positivo no terceiro quadrimestre de 2008, onde a projeção foi de R$ 78.163,00 valor negativo para a Lei de Diretrizes, ja no caso do resultado nominal na Lei de Diretrizes Orçamentárias o valor projetado foi de R$ 307.608,84 valor positivo sendo que ao final do quadrimestre apresentou R$ 130.552,08 valor positivo. Na analise do demonstrativo podemos concluir que houve atendimento das metas fiscais projetadas.</t>
  </si>
  <si>
    <t> FONTE: Secretaria de Administração, Planejamento e Fazenda</t>
  </si>
  <si>
    <t xml:space="preserve">               João Paulo Beltrão dos Santos                                    Mauricio da Rosa</t>
  </si>
  <si>
    <t xml:space="preserve">                  Prefeito Municipal                                                    Contador CRC/RS 68.238</t>
  </si>
  <si>
    <t>Nota: No presente temos em analise horizontal das metas fiscais fixadas nos ultimos três exercicios, conforme Lei de Diretrizes Anteriores e a projeção para o exercício de futuros sendo a projeção de meta de variação do Estado, em 4,5%, a.a. de variação em percentual.</t>
  </si>
  <si>
    <t>FONTE: SECRETARIA DE ADMINISTRAÇÃO, PLANEJAMENTO E FAZENDA</t>
  </si>
  <si>
    <t>Nota: No presente demonstrativo temos a variação de 2006 a 2008 sendo maior a cada ano, em razão devido do município estar em constantes investimentos dessa forma o patrimônio capital do município esta em constante variação positiva, sendo que o crescimento em uma analise horizontal obteve em percentual 28,8%.</t>
  </si>
  <si>
    <t>Nota: Com  relação ao presente demonstrativo, apresentamos somente no exercício de 2007 a aplicação de alienação de ativos sendo o mesmo utilizado para investimento na aquisição de novos equipamentos.</t>
  </si>
  <si>
    <t>ITPU</t>
  </si>
  <si>
    <t>IMPOSTO</t>
  </si>
  <si>
    <t>AREA URBANA</t>
  </si>
  <si>
    <t>cfe codigo tríbutario</t>
  </si>
  <si>
    <t>FONTE: Secretaria de Administração, Planejmaneto e Fazenda</t>
  </si>
  <si>
    <t>Nota: O desconto acima está previsto no código tributário do município conforme a Lei Complementar nº 01/2001, Art. 201.</t>
  </si>
  <si>
    <t xml:space="preserve">                    Mauricio da Rosa</t>
  </si>
  <si>
    <t>Prefeito Municipal</t>
  </si>
  <si>
    <t xml:space="preserve">               Contador CRC/RS 68.238</t>
  </si>
  <si>
    <t>Sec. Admim, Plan e Fazenda</t>
  </si>
  <si>
    <t>Boa Vista do Cadeado 28 de Agosto de 2009.</t>
  </si>
  <si>
    <t xml:space="preserve">  Fabio Mayer Barasuol</t>
  </si>
  <si>
    <t>Nota:</t>
  </si>
  <si>
    <t xml:space="preserve">1  -  A demonstração da margem de expansão das despesas obrigatórias de caráter continuado visa </t>
  </si>
  <si>
    <t>assegurar que não haverá criação de nova despesa sem a correspondente fonte de financiamento.</t>
  </si>
  <si>
    <t xml:space="preserve">2 -  A metodologia empregada, baseou-se naquela atualmente empregada pelo Secretaria do Tesouro Nacional, </t>
  </si>
  <si>
    <t>3 - Assim, consideramos o efeito da variação do PIB sobre as Receitas Tributárias e sobre as Transfe</t>
  </si>
  <si>
    <t>rências Correntes, que são as fontes que concentram as receitas passíveis de indicação como forma</t>
  </si>
  <si>
    <t>de compensação para o aumento das  DOCC, na forma do art. 17, § 3º da LRF, ocorridas em anos anteriores.</t>
  </si>
  <si>
    <t>4 - No impacto de Novas  DOCC, foi considerado o aumento de despesas com pessoal e encargos de</t>
  </si>
  <si>
    <t>corrente do crescimento vegetativo da folha e da concessão de aumento salarial. Para as outras despe</t>
  </si>
  <si>
    <t>sas correntes, consideramos o aumento decorrente da variação real (acima da inflação, desse grupo de</t>
  </si>
  <si>
    <t>despesas).</t>
  </si>
  <si>
    <t xml:space="preserve">Prefeito Municipal                         Contador CRC/RS 68.238          Sec. Adm, Plan e Fazenda  </t>
  </si>
  <si>
    <t>e buscando informações na LDO do  Estado para 2010, que considera, o aumento permanente da recei-</t>
  </si>
  <si>
    <t>ta, a ampliação da base de cálculo decorrente da variação real do PIB, estimada em 4,5% para o ano</t>
  </si>
  <si>
    <t>de 2010, mas neste demostrativo projetos arrecadação, baseando na arrecadação prevista do exercício de 2009,</t>
  </si>
  <si>
    <t>comparada com a prevista para o 2010, caso compararmos  fica claro a margem de expansão</t>
  </si>
  <si>
    <t>João Paulo Beltrão dos Santos           Mauricio da Rosa                       Fabio Mayer Barasuol</t>
  </si>
  <si>
    <t>Eventos da Natureza (RF)</t>
  </si>
  <si>
    <t>Provisão para a não-cobrança de tributos lançados (RF)</t>
  </si>
  <si>
    <t>Outros eventos fiscais não previstos (EI)</t>
  </si>
  <si>
    <t>CONSERVAÇÃO DO PATRIMÔNIO PÚBLICO E PROVIDÊNCIAS A SEREM ADOTADAS PELO EXECUTIVO (Art. 45, § único, da LRF).</t>
  </si>
  <si>
    <t>Projetos em Andamento</t>
  </si>
  <si>
    <t>Previsão de Custo p/ conclusão</t>
  </si>
  <si>
    <t>Aquisição de Veículos</t>
  </si>
  <si>
    <t>Ampliação e Construção de Escolas</t>
  </si>
  <si>
    <t>Aquisição Equip e Material Permanente Infantil</t>
  </si>
  <si>
    <t>Conclusão do Ginásio Poli esportivo</t>
  </si>
  <si>
    <t>Ampliação e Melhorias em Quadras Esportivas</t>
  </si>
  <si>
    <t>Ampliação da Rede d´ Água Urbana</t>
  </si>
  <si>
    <t>Ampliação da Rede d Rural</t>
  </si>
  <si>
    <t>Construção de Abrigo de Ônibus</t>
  </si>
  <si>
    <t>Construção de Pontes</t>
  </si>
  <si>
    <t>Construção de Bueiros</t>
  </si>
  <si>
    <t>Aquisição de Máquinas e Veículos</t>
  </si>
  <si>
    <t>Pavimentação de Ruas e Avenidas</t>
  </si>
  <si>
    <t>Sinalização e conservação ruas e avenidas</t>
  </si>
  <si>
    <t>Pavimentação de Passeio Praças e Outros</t>
  </si>
  <si>
    <t>Implantação do Parq. de Exposição e Rodeios</t>
  </si>
  <si>
    <t>Desenvolvimento da Piscicultura</t>
  </si>
  <si>
    <t>Aquisição de Patrulha Agrícola</t>
  </si>
  <si>
    <t>Desenvolvimento do Parque Industrial</t>
  </si>
  <si>
    <t>Implantação de Habitação Rural</t>
  </si>
  <si>
    <t>Implantação de Habitação Urbana</t>
  </si>
  <si>
    <t>Aquisição de Equip. e Mat. Permanente</t>
  </si>
  <si>
    <t>Construção e Ampliação do Parq. de Máquinas</t>
  </si>
  <si>
    <t>Const., Ampl. Melh  Quadras Esp.nas Escolas</t>
  </si>
  <si>
    <t xml:space="preserve">Ao restante dos projetos que estão no orçamento do presente exercício, não estão considerados neste relatório ao fato de serem projetos que atendam a aquisição de equipamentos e moveis para a manutenção da estrutura administrativa, e seus valores não são expressivos, ao ponto de serem demonstrados no presente relatório. </t>
  </si>
  <si>
    <t>2 – Informações sobre a conservação do Patrimônio Público</t>
  </si>
  <si>
    <t>Aquisição Equip e Material Permanente</t>
  </si>
  <si>
    <t>Aquisição de Equip. e Mat. Permanente Fundeb</t>
  </si>
  <si>
    <t>Construção de Infraestrutura da antena retramissora</t>
  </si>
  <si>
    <t>Desenvolvimento de Grupo do Leite Cadeado</t>
  </si>
  <si>
    <t xml:space="preserve">Os projetos acima descritos são as ações da Administração Municipal que serão realizadas até o final do exercício, com a exceção das moradias rurais e urbanas, que estão solicitados novos recursos o que poderão ser realizado no ano de 2010. </t>
  </si>
  <si>
    <t>João Paulo Beltrão dos Santos                                                         Mauricio da Rosa</t>
  </si>
  <si>
    <t>Prefeito Municipal                                                                        Contador CRC/RS 68.238</t>
  </si>
  <si>
    <t>FROFESSOR I E II *</t>
  </si>
  <si>
    <t>FONTE SECRETARIA DE ADMINISTRAÇÃO, PLANEJAMENTO E FAZENDA</t>
  </si>
  <si>
    <t>NOTA: * FORAM CONSIDERADOS MÉDIAS DOS VALRES DE REMUNERAÇÃO</t>
  </si>
  <si>
    <t>João Paulo Beltrão dos Santos                    Mauricio da Rosa                       Fabio Mayer Barasuol</t>
  </si>
  <si>
    <t xml:space="preserve">Prefeito Municipal                                          Contador CRC/RS 68.238          Sec. Adm, Plan e Fazenda  </t>
  </si>
  <si>
    <t>LEI COMPLEN TAR Nº 11</t>
  </si>
  <si>
    <t>NÃO PROJETAMOS NENHUMA ALTERAÇÃO NO PLANEJAMENTO DE PESSOAL PARA 2010.</t>
  </si>
  <si>
    <t xml:space="preserve">            Secretaria Administração, Planejamento e Fazenda de Boa Vista do Cadeado.</t>
  </si>
  <si>
    <t>c) índice de quantidade corresponde ao 1,17 % de crescimento real da receita. Ex: ICMS aumentou nos dois últimos exercício a razão de 12,98% a.a. Para o exercício de 2010, o mesmo ocorreu com o FPM onde 5,74% a.a., além disso para exercício de 2011 a 2012, foram considerados a taxa de crescimento, conforme informações da L.D.O. do Estado, com o percentual de 4,5% a,a,</t>
  </si>
  <si>
    <t>e) as receitas próprios foram considerados média histórica dos últimos 3 anos reprojetando o cálculo para o exercício de 2010, com acréscimo de 4,5%, a. a.</t>
  </si>
  <si>
    <t>* A STN veda, no manual do RREO, a dedução do IRRF para efeitos de apuração da RCL</t>
  </si>
  <si>
    <t xml:space="preserve">   As informações para a presente análise apresentam individualmente as principais receitas corrente que mantém o Município, sendo que o FPM obteve um crescimento médio de 5,74% a.a., como o presente não existe possibilidade de oscilação pois os valores são através do coeficiente mínimo, a tendência para o exercício de 2010 é que haja uma projeção superior ao projetado para o exercício atual, o mesmo ocorre para todas as transferências da união, com execução da Lei kandir, que devido a redução do exercício de 2008 para 2009  de -18,21%.</t>
  </si>
  <si>
    <t xml:space="preserve">   De outro lado estão as receitas do estado, no caso do ICMS, nosso índice atual está no percentual de 0,079801%, o que representou uma recuperação de 9,00% em relação ao exercício de 2008; e em valores representou um acréscimo de R$ 142.100,00. porém em relação ao próximo exercício  estamos prevendo um aumento de índice pois nos anos subseqüente tivemos situações favoráveis com relação a produção agrícola, então dessa forma entende-se que haverá aumento na participação do município com relação ao cota de distribuição dos recursos do estado.</t>
  </si>
  <si>
    <t xml:space="preserve">  Na projeção da despesa estamos tomando muito cuidado com relação a execução e comprometimento dos recursos pois até apresente data, a economia do pais está apresentando forte recessão, onde que Governo Federal, vem através de redução de impostos como o do Imposto sobre Produtos Industrializar, aquecer a economia, pois temos sim sentido a redução na arrecadação, desta recessão apresentando.</t>
  </si>
  <si>
    <t xml:space="preserve">   Em relação ao resultado primário, apresentamos como meta para o exercício de 2010, o valor de R$ 60.800,00 negativo, porque, foram aplicados todos os valores projetados da receita frente a projeção da despesa, como as aplicações financeiras são o conjunto que formam o valor da receita, e neste demonstrativo foram deduzidas apresentando somente as Receitas Fiscais Líquidas, tal situação apresentada formará a meta do novo exercício. Também apresentamos o superávit financeiro que ocorrerá no exercício atual, e que formará a projeção do resultado nominal. Para os outros exercícios somente aplicamos o percentual de inflação para o período de 4,5% os dois exercícios subsequentes, conforme metas de inflação projetada pela Secretaria da Fazenda do Estado do Rio Grande do Sul e a Fundação de Estadual de Estatística.</t>
  </si>
  <si>
    <t>Manutenção de Recursos em reserva de contingência</t>
  </si>
  <si>
    <t>Contrapartidas de Eventuais Convênios e Créditos Adicionais Orçamentárias (EC)</t>
  </si>
  <si>
    <t>Cód. Ação PPA e LDO</t>
  </si>
  <si>
    <t>Ampliar a rede e iluminação pública</t>
  </si>
  <si>
    <t>Aquisição de Equip. e Mater. Permanente Obras</t>
  </si>
  <si>
    <t>Sistema Simplificado Abastecimento de Água</t>
  </si>
  <si>
    <t>Sistema Simplificado Abastecimento de Água Prosan</t>
  </si>
  <si>
    <t>O valor patrimonial vale dizer que perfazem o valor de R$ 7.772.428,44,  conforme valor original sem a devida reavaliação.</t>
  </si>
  <si>
    <t xml:space="preserve"> O presente patrimônio, está passando por inventário, com nova comissão instituída, pois houve a saída dos antiga, após o termino será realizado atualização de informações, junto aos setores competentes.</t>
  </si>
  <si>
    <t>(h) Estimativa da Compensação e Renúncia da Receita</t>
  </si>
  <si>
    <t>(i) Margem de Expansão das Despesas Obrigatórias de Caráter Continuado</t>
  </si>
  <si>
    <t>INCENTIVO FISCAL</t>
  </si>
  <si>
    <t>REPASSE FINANCEIRO</t>
  </si>
  <si>
    <t>DESENVOLV.</t>
  </si>
  <si>
    <t xml:space="preserve">DO PARQUE </t>
  </si>
  <si>
    <t>INDUSTRIAL</t>
  </si>
  <si>
    <t xml:space="preserve">             Repasse financeiro será realizada para empresa do ramo agroindustrial para abate de bovinos</t>
  </si>
  <si>
    <t>Boa Vista do Cadeado 28 de  Julho de 2010</t>
  </si>
  <si>
    <t>Dotações do Orçamento Vigente</t>
  </si>
  <si>
    <t>Previsão orçamentaria</t>
  </si>
  <si>
    <t>Boa Vista do Cadeado 03 de agosto de 2010.</t>
  </si>
  <si>
    <t xml:space="preserve"> Mauricio da Rosa</t>
  </si>
  <si>
    <t>Boa Vista do Cadeado 12 de Agosto de 2009.</t>
  </si>
</sst>
</file>

<file path=xl/styles.xml><?xml version="1.0" encoding="utf-8"?>
<styleSheet xmlns="http://schemas.openxmlformats.org/spreadsheetml/2006/main">
  <numFmts count="9">
    <numFmt numFmtId="6" formatCode="&quot;R$ &quot;#,##0_);[Red]\(&quot;R$ &quot;#,##0\)"/>
    <numFmt numFmtId="8" formatCode="&quot;R$ &quot;#,##0.00_);[Red]\(&quot;R$ &quot;#,##0.00\)"/>
    <numFmt numFmtId="43" formatCode="_(* #,##0.00_);_(* \(#,##0.00\);_(* &quot;-&quot;??_);_(@_)"/>
    <numFmt numFmtId="164" formatCode="_(* #,##0_);_(* \(#,##0\);_(* &quot;-&quot;??_);_(@_)"/>
    <numFmt numFmtId="165" formatCode="#,##0.000_);[Red]\(#,##0.000\)"/>
    <numFmt numFmtId="166" formatCode="0.0%"/>
    <numFmt numFmtId="167" formatCode="_(* #,##0.000_);_(* \(#,##0.000\);_(* &quot;-&quot;??_);_(@_)"/>
    <numFmt numFmtId="168" formatCode="_(* #,##0.0000_);_(* \(#,##0.0000\);_(* &quot;-&quot;??_);_(@_)"/>
    <numFmt numFmtId="169" formatCode="0.000"/>
  </numFmts>
  <fonts count="31">
    <font>
      <sz val="10"/>
      <name val="Arial"/>
    </font>
    <font>
      <sz val="10"/>
      <name val="Arial"/>
      <family val="2"/>
    </font>
    <font>
      <b/>
      <sz val="8"/>
      <name val="Times New Roman"/>
      <family val="1"/>
    </font>
    <font>
      <sz val="8"/>
      <name val="Times New Roman"/>
      <family val="1"/>
    </font>
    <font>
      <i/>
      <sz val="8"/>
      <name val="Times New Roman"/>
      <family val="1"/>
    </font>
    <font>
      <sz val="10"/>
      <name val="Times New Roman"/>
      <family val="1"/>
    </font>
    <font>
      <sz val="8"/>
      <name val="Arial"/>
      <family val="2"/>
    </font>
    <font>
      <b/>
      <sz val="10"/>
      <name val="Arial"/>
      <family val="2"/>
    </font>
    <font>
      <sz val="10"/>
      <name val="Arial"/>
      <family val="2"/>
    </font>
    <font>
      <b/>
      <sz val="10"/>
      <name val="Times New Roman"/>
      <family val="1"/>
    </font>
    <font>
      <b/>
      <sz val="9"/>
      <name val="Arial"/>
      <family val="2"/>
    </font>
    <font>
      <sz val="9"/>
      <name val="Times New Roman"/>
      <family val="1"/>
    </font>
    <font>
      <b/>
      <sz val="9"/>
      <name val="Times New Roman"/>
      <family val="1"/>
    </font>
    <font>
      <b/>
      <sz val="8"/>
      <name val="Arial"/>
      <family val="2"/>
    </font>
    <font>
      <b/>
      <u/>
      <sz val="8"/>
      <name val="Times New Roman"/>
      <family val="1"/>
    </font>
    <font>
      <b/>
      <u/>
      <sz val="10"/>
      <name val="Times New Roman"/>
      <family val="1"/>
    </font>
    <font>
      <sz val="12"/>
      <name val="Times New Roman"/>
      <family val="1"/>
    </font>
    <font>
      <sz val="7"/>
      <name val="Times New Roman"/>
      <family val="1"/>
    </font>
    <font>
      <sz val="10"/>
      <color indexed="8"/>
      <name val="Times New Roman"/>
      <family val="1"/>
    </font>
    <font>
      <b/>
      <u/>
      <sz val="10"/>
      <color indexed="8"/>
      <name val="Times New Roman"/>
      <family val="1"/>
    </font>
    <font>
      <b/>
      <sz val="10"/>
      <color indexed="8"/>
      <name val="Times New Roman"/>
      <family val="1"/>
    </font>
    <font>
      <sz val="10"/>
      <color indexed="10"/>
      <name val="Times New Roman"/>
      <family val="1"/>
    </font>
    <font>
      <b/>
      <sz val="11"/>
      <name val="Times New Roman"/>
      <family val="1"/>
    </font>
    <font>
      <b/>
      <sz val="12"/>
      <name val="Times New Roman"/>
      <family val="1"/>
    </font>
    <font>
      <sz val="20"/>
      <color indexed="8"/>
      <name val="Times New Roman"/>
      <family val="1"/>
    </font>
    <font>
      <sz val="11"/>
      <name val="Times New Roman"/>
      <family val="1"/>
    </font>
    <font>
      <sz val="8"/>
      <color indexed="10"/>
      <name val="Times New Roman"/>
      <family val="1"/>
    </font>
    <font>
      <sz val="10"/>
      <color theme="1"/>
      <name val="Times New Roman"/>
      <family val="1"/>
    </font>
    <font>
      <b/>
      <sz val="10"/>
      <color theme="1"/>
      <name val="Times New Roman"/>
      <family val="1"/>
    </font>
    <font>
      <b/>
      <u/>
      <sz val="10"/>
      <color theme="1"/>
      <name val="Times New Roman"/>
      <family val="1"/>
    </font>
    <font>
      <sz val="10"/>
      <color rgb="FFFF0000"/>
      <name val="Times New Roman"/>
      <family val="1"/>
    </font>
  </fonts>
  <fills count="9">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indexed="55"/>
        <bgColor indexed="64"/>
      </patternFill>
    </fill>
    <fill>
      <patternFill patternType="solid">
        <fgColor indexed="9"/>
        <bgColor indexed="64"/>
      </patternFill>
    </fill>
    <fill>
      <patternFill patternType="solid">
        <fgColor rgb="FFE6E6E6"/>
        <bgColor indexed="64"/>
      </patternFill>
    </fill>
  </fills>
  <borders count="85">
    <border>
      <left/>
      <right/>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bottom style="thick">
        <color indexed="64"/>
      </bottom>
      <diagonal/>
    </border>
    <border>
      <left/>
      <right/>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right/>
      <top style="thin">
        <color indexed="64"/>
      </top>
      <bottom style="thin">
        <color indexed="64"/>
      </bottom>
      <diagonal/>
    </border>
    <border>
      <left/>
      <right style="thick">
        <color indexed="64"/>
      </right>
      <top/>
      <bottom style="thick">
        <color indexed="64"/>
      </bottom>
      <diagonal/>
    </border>
    <border>
      <left style="thick">
        <color indexed="64"/>
      </left>
      <right style="thick">
        <color indexed="64"/>
      </right>
      <top style="thin">
        <color indexed="64"/>
      </top>
      <bottom style="thick">
        <color indexed="64"/>
      </bottom>
      <diagonal/>
    </border>
    <border>
      <left/>
      <right/>
      <top style="thin">
        <color indexed="64"/>
      </top>
      <bottom style="thick">
        <color indexed="64"/>
      </bottom>
      <diagonal/>
    </border>
    <border>
      <left style="thick">
        <color indexed="64"/>
      </left>
      <right style="thick">
        <color indexed="64"/>
      </right>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9"/>
      </left>
      <right style="thin">
        <color indexed="9"/>
      </right>
      <top style="thin">
        <color indexed="9"/>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top style="thin">
        <color indexed="64"/>
      </top>
      <bottom/>
      <diagonal/>
    </border>
    <border>
      <left style="thin">
        <color indexed="9"/>
      </left>
      <right style="thin">
        <color indexed="9"/>
      </right>
      <top/>
      <bottom style="thin">
        <color indexed="64"/>
      </bottom>
      <diagonal/>
    </border>
    <border>
      <left style="thin">
        <color indexed="64"/>
      </left>
      <right style="thin">
        <color indexed="64"/>
      </right>
      <top style="thin">
        <color indexed="64"/>
      </top>
      <bottom style="thin">
        <color indexed="9"/>
      </bottom>
      <diagonal/>
    </border>
    <border>
      <left/>
      <right style="thin">
        <color indexed="64"/>
      </right>
      <top style="thin">
        <color indexed="64"/>
      </top>
      <bottom style="thin">
        <color indexed="9"/>
      </bottom>
      <diagonal/>
    </border>
    <border>
      <left/>
      <right/>
      <top style="thin">
        <color indexed="64"/>
      </top>
      <bottom style="thin">
        <color indexed="9"/>
      </bottom>
      <diagonal/>
    </border>
    <border>
      <left style="thin">
        <color indexed="64"/>
      </left>
      <right style="thin">
        <color indexed="64"/>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style="thin">
        <color indexed="64"/>
      </right>
      <top style="thin">
        <color indexed="9"/>
      </top>
      <bottom style="thin">
        <color indexed="64"/>
      </bottom>
      <diagonal/>
    </border>
    <border>
      <left/>
      <right style="thin">
        <color indexed="64"/>
      </right>
      <top style="thin">
        <color indexed="9"/>
      </top>
      <bottom style="thin">
        <color indexed="64"/>
      </bottom>
      <diagonal/>
    </border>
    <border>
      <left/>
      <right/>
      <top style="thin">
        <color indexed="9"/>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thin">
        <color indexed="9"/>
      </bottom>
      <diagonal/>
    </border>
    <border>
      <left style="thin">
        <color indexed="9"/>
      </left>
      <right/>
      <top style="thin">
        <color indexed="9"/>
      </top>
      <bottom style="thin">
        <color indexed="64"/>
      </bottom>
      <diagonal/>
    </border>
    <border>
      <left/>
      <right style="thin">
        <color indexed="9"/>
      </right>
      <top style="thin">
        <color indexed="9"/>
      </top>
      <bottom style="thin">
        <color indexed="64"/>
      </bottom>
      <diagonal/>
    </border>
    <border>
      <left/>
      <right style="medium">
        <color indexed="64"/>
      </right>
      <top/>
      <bottom style="medium">
        <color indexed="64"/>
      </bottom>
      <diagonal/>
    </border>
    <border>
      <left/>
      <right style="thick">
        <color indexed="64"/>
      </right>
      <top/>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diagonal/>
    </border>
    <border>
      <left style="medium">
        <color indexed="64"/>
      </left>
      <right style="medium">
        <color indexed="64"/>
      </right>
      <top/>
      <bottom/>
      <diagonal/>
    </border>
    <border>
      <left/>
      <right style="medium">
        <color indexed="64"/>
      </right>
      <top style="medium">
        <color indexed="64"/>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664">
    <xf numFmtId="0" fontId="0" fillId="0" borderId="0" xfId="0"/>
    <xf numFmtId="0" fontId="3" fillId="0" borderId="0" xfId="0" applyNumberFormat="1" applyFont="1" applyFill="1" applyBorder="1" applyAlignment="1"/>
    <xf numFmtId="0" fontId="2" fillId="0" borderId="0" xfId="0" applyNumberFormat="1" applyFont="1" applyFill="1" applyAlignment="1"/>
    <xf numFmtId="0" fontId="3" fillId="0" borderId="0" xfId="0" applyNumberFormat="1" applyFont="1" applyFill="1" applyBorder="1" applyAlignment="1">
      <alignment vertical="center"/>
    </xf>
    <xf numFmtId="0" fontId="8" fillId="0" borderId="0" xfId="0" applyFont="1"/>
    <xf numFmtId="0" fontId="8" fillId="0" borderId="0" xfId="0" applyFont="1" applyFill="1"/>
    <xf numFmtId="0" fontId="8" fillId="0" borderId="0" xfId="0" applyFont="1" applyFill="1" applyAlignment="1">
      <alignment horizontal="center" vertical="center"/>
    </xf>
    <xf numFmtId="0" fontId="3" fillId="0" borderId="1" xfId="0" applyFont="1" applyFill="1" applyBorder="1" applyAlignment="1"/>
    <xf numFmtId="0" fontId="3" fillId="0" borderId="2" xfId="0" applyFont="1" applyFill="1" applyBorder="1" applyAlignment="1"/>
    <xf numFmtId="0" fontId="3" fillId="0" borderId="3" xfId="0" applyFont="1" applyFill="1" applyBorder="1" applyAlignment="1"/>
    <xf numFmtId="0" fontId="8" fillId="0" borderId="0" xfId="0" applyFont="1" applyFill="1" applyBorder="1"/>
    <xf numFmtId="0" fontId="9" fillId="0" borderId="0" xfId="0" applyNumberFormat="1" applyFont="1" applyFill="1" applyAlignment="1">
      <alignment horizontal="left"/>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11" fillId="0" borderId="0" xfId="0" applyFont="1" applyFill="1" applyBorder="1" applyAlignment="1">
      <alignment horizontal="center" vertical="center"/>
    </xf>
    <xf numFmtId="0" fontId="8" fillId="0" borderId="0" xfId="0" applyFont="1" applyFill="1" applyBorder="1" applyAlignment="1">
      <alignment horizontal="left"/>
    </xf>
    <xf numFmtId="164" fontId="8" fillId="0" borderId="4" xfId="2" applyNumberFormat="1" applyFont="1" applyFill="1" applyBorder="1" applyAlignment="1">
      <alignment horizontal="left" vertical="top" wrapText="1"/>
    </xf>
    <xf numFmtId="164" fontId="8" fillId="2" borderId="5" xfId="2" applyNumberFormat="1" applyFont="1" applyFill="1" applyBorder="1" applyAlignment="1">
      <alignment horizontal="left" vertical="top" wrapText="1"/>
    </xf>
    <xf numFmtId="164" fontId="8" fillId="2" borderId="6" xfId="2" applyNumberFormat="1" applyFont="1" applyFill="1" applyBorder="1" applyAlignment="1">
      <alignment horizontal="left" vertical="top" wrapText="1"/>
    </xf>
    <xf numFmtId="0" fontId="7" fillId="0" borderId="0" xfId="0" applyFont="1"/>
    <xf numFmtId="0" fontId="7" fillId="3" borderId="7" xfId="0" applyFont="1" applyFill="1" applyBorder="1" applyAlignment="1">
      <alignment horizontal="center"/>
    </xf>
    <xf numFmtId="0" fontId="7" fillId="3" borderId="8" xfId="0" applyFont="1" applyFill="1" applyBorder="1" applyAlignment="1">
      <alignment horizontal="center"/>
    </xf>
    <xf numFmtId="0" fontId="7" fillId="3" borderId="9" xfId="0" applyFont="1" applyFill="1" applyBorder="1" applyAlignment="1">
      <alignment horizontal="center"/>
    </xf>
    <xf numFmtId="165" fontId="0" fillId="0" borderId="10" xfId="2" applyNumberFormat="1" applyFont="1" applyFill="1" applyBorder="1"/>
    <xf numFmtId="165" fontId="0" fillId="0" borderId="11" xfId="2" applyNumberFormat="1" applyFont="1" applyFill="1" applyBorder="1"/>
    <xf numFmtId="165" fontId="0" fillId="0" borderId="12" xfId="2" applyNumberFormat="1" applyFont="1" applyFill="1" applyBorder="1"/>
    <xf numFmtId="165" fontId="0" fillId="0" borderId="13" xfId="2" applyNumberFormat="1" applyFont="1" applyFill="1" applyBorder="1"/>
    <xf numFmtId="165" fontId="0" fillId="0" borderId="4" xfId="2" applyNumberFormat="1" applyFont="1" applyFill="1" applyBorder="1"/>
    <xf numFmtId="165" fontId="0" fillId="0" borderId="14" xfId="2" applyNumberFormat="1" applyFont="1" applyFill="1" applyBorder="1"/>
    <xf numFmtId="165" fontId="0" fillId="0" borderId="15" xfId="2" applyNumberFormat="1" applyFont="1" applyFill="1" applyBorder="1"/>
    <xf numFmtId="165" fontId="0" fillId="0" borderId="16" xfId="2" applyNumberFormat="1" applyFont="1" applyFill="1" applyBorder="1"/>
    <xf numFmtId="165" fontId="0" fillId="0" borderId="17" xfId="2" applyNumberFormat="1" applyFont="1" applyFill="1" applyBorder="1"/>
    <xf numFmtId="165" fontId="7" fillId="0" borderId="18" xfId="0" applyNumberFormat="1" applyFont="1" applyFill="1" applyBorder="1"/>
    <xf numFmtId="0" fontId="0" fillId="0" borderId="19" xfId="0" applyBorder="1"/>
    <xf numFmtId="0" fontId="7" fillId="0" borderId="20" xfId="0" applyFont="1" applyBorder="1"/>
    <xf numFmtId="0" fontId="7" fillId="0" borderId="21" xfId="0" applyFont="1" applyBorder="1" applyAlignment="1">
      <alignment horizontal="center"/>
    </xf>
    <xf numFmtId="0" fontId="7" fillId="0" borderId="22" xfId="0" applyFont="1" applyBorder="1" applyAlignment="1">
      <alignment horizontal="center"/>
    </xf>
    <xf numFmtId="0" fontId="7" fillId="0" borderId="23" xfId="0" applyFont="1" applyBorder="1"/>
    <xf numFmtId="0" fontId="8" fillId="0" borderId="24" xfId="0" applyFont="1" applyBorder="1"/>
    <xf numFmtId="38" fontId="0" fillId="0" borderId="24" xfId="0" applyNumberFormat="1" applyBorder="1"/>
    <xf numFmtId="38" fontId="0" fillId="0" borderId="23" xfId="0" applyNumberFormat="1" applyBorder="1"/>
    <xf numFmtId="38" fontId="0" fillId="0" borderId="6" xfId="0" applyNumberFormat="1" applyBorder="1"/>
    <xf numFmtId="0" fontId="7" fillId="0" borderId="25" xfId="0" applyFont="1" applyBorder="1"/>
    <xf numFmtId="0" fontId="8" fillId="0" borderId="26" xfId="0" applyFont="1" applyBorder="1"/>
    <xf numFmtId="38" fontId="0" fillId="0" borderId="26" xfId="0" applyNumberFormat="1" applyBorder="1"/>
    <xf numFmtId="38" fontId="0" fillId="0" borderId="25" xfId="0" applyNumberFormat="1" applyBorder="1"/>
    <xf numFmtId="38" fontId="0" fillId="0" borderId="27" xfId="0" applyNumberFormat="1" applyBorder="1"/>
    <xf numFmtId="0" fontId="7" fillId="0" borderId="28" xfId="0" applyFont="1" applyBorder="1"/>
    <xf numFmtId="0" fontId="8" fillId="0" borderId="29" xfId="0" applyFont="1" applyBorder="1"/>
    <xf numFmtId="38" fontId="0" fillId="0" borderId="29" xfId="0" applyNumberFormat="1" applyBorder="1"/>
    <xf numFmtId="38" fontId="0" fillId="0" borderId="30" xfId="0" applyNumberFormat="1" applyBorder="1"/>
    <xf numFmtId="38" fontId="7" fillId="0" borderId="31" xfId="0" applyNumberFormat="1" applyFont="1" applyBorder="1"/>
    <xf numFmtId="38" fontId="7" fillId="0" borderId="28" xfId="0" applyNumberFormat="1" applyFont="1" applyBorder="1"/>
    <xf numFmtId="0" fontId="7" fillId="0" borderId="0" xfId="0" applyFont="1" applyFill="1" applyBorder="1"/>
    <xf numFmtId="0" fontId="11" fillId="0" borderId="0" xfId="0" applyFont="1" applyFill="1" applyAlignment="1">
      <alignment horizontal="left" vertical="center"/>
    </xf>
    <xf numFmtId="0" fontId="0" fillId="0" borderId="0" xfId="0" applyProtection="1">
      <protection locked="0"/>
    </xf>
    <xf numFmtId="0" fontId="7" fillId="0" borderId="0" xfId="0" applyFont="1" applyProtection="1">
      <protection locked="0"/>
    </xf>
    <xf numFmtId="166" fontId="3" fillId="0" borderId="0" xfId="1" applyNumberFormat="1" applyFont="1" applyFill="1" applyBorder="1" applyAlignment="1"/>
    <xf numFmtId="10" fontId="3" fillId="0" borderId="0" xfId="1" applyNumberFormat="1" applyFont="1" applyFill="1" applyBorder="1" applyAlignment="1"/>
    <xf numFmtId="167" fontId="3" fillId="0" borderId="0" xfId="2" applyNumberFormat="1" applyFont="1" applyFill="1" applyBorder="1" applyAlignment="1"/>
    <xf numFmtId="168" fontId="3" fillId="0" borderId="0" xfId="2" applyNumberFormat="1" applyFont="1" applyFill="1" applyBorder="1" applyAlignment="1"/>
    <xf numFmtId="167" fontId="3" fillId="0" borderId="32" xfId="2" applyNumberFormat="1" applyFont="1" applyFill="1" applyBorder="1" applyAlignment="1">
      <alignment horizontal="center"/>
    </xf>
    <xf numFmtId="0" fontId="3" fillId="0" borderId="33" xfId="0" applyNumberFormat="1" applyFont="1" applyFill="1" applyBorder="1" applyAlignment="1">
      <alignment horizontal="center"/>
    </xf>
    <xf numFmtId="0" fontId="3" fillId="0" borderId="0" xfId="0" applyFont="1" applyFill="1" applyBorder="1" applyAlignment="1">
      <alignment horizontal="left" vertical="top"/>
    </xf>
    <xf numFmtId="0" fontId="3" fillId="0" borderId="0" xfId="0" applyFont="1" applyFill="1" applyBorder="1" applyAlignment="1">
      <alignment horizontal="left" vertical="top" wrapText="1"/>
    </xf>
    <xf numFmtId="0" fontId="3" fillId="0" borderId="34" xfId="0" applyFont="1" applyFill="1" applyBorder="1" applyAlignment="1">
      <alignment horizontal="left" vertical="top" wrapText="1"/>
    </xf>
    <xf numFmtId="0" fontId="5" fillId="0" borderId="35" xfId="0" applyFont="1" applyFill="1" applyBorder="1" applyAlignment="1">
      <alignment vertical="top" wrapText="1"/>
    </xf>
    <xf numFmtId="8" fontId="5" fillId="0" borderId="35" xfId="0" applyNumberFormat="1" applyFont="1" applyFill="1" applyBorder="1" applyAlignment="1">
      <alignment horizontal="right" vertical="top" wrapText="1"/>
    </xf>
    <xf numFmtId="164" fontId="8" fillId="2" borderId="4" xfId="2" applyNumberFormat="1" applyFont="1" applyFill="1" applyBorder="1" applyAlignment="1">
      <alignment horizontal="left" vertical="top" wrapText="1"/>
    </xf>
    <xf numFmtId="164" fontId="8" fillId="2" borderId="36" xfId="2" applyNumberFormat="1" applyFont="1" applyFill="1" applyBorder="1" applyAlignment="1">
      <alignment horizontal="left" vertical="top" wrapText="1"/>
    </xf>
    <xf numFmtId="0" fontId="8" fillId="0" borderId="6" xfId="0" applyFont="1" applyFill="1" applyBorder="1"/>
    <xf numFmtId="164" fontId="8" fillId="0" borderId="36" xfId="2" applyNumberFormat="1" applyFont="1" applyFill="1" applyBorder="1" applyAlignment="1">
      <alignment horizontal="left" vertical="top" wrapText="1"/>
    </xf>
    <xf numFmtId="0" fontId="5" fillId="0" borderId="4" xfId="0" applyFont="1" applyFill="1" applyBorder="1" applyAlignment="1"/>
    <xf numFmtId="0" fontId="3" fillId="0" borderId="4" xfId="0" applyFont="1" applyFill="1" applyBorder="1" applyAlignment="1">
      <alignment horizontal="left" vertical="top" wrapText="1"/>
    </xf>
    <xf numFmtId="3" fontId="7" fillId="0" borderId="4" xfId="0" applyNumberFormat="1" applyFont="1" applyFill="1" applyBorder="1" applyAlignment="1">
      <alignment vertical="center"/>
    </xf>
    <xf numFmtId="0" fontId="7" fillId="0" borderId="4" xfId="0" applyFont="1" applyBorder="1" applyAlignment="1"/>
    <xf numFmtId="3" fontId="7" fillId="0" borderId="36" xfId="0" applyNumberFormat="1" applyFont="1" applyFill="1" applyBorder="1" applyAlignment="1">
      <alignment vertical="center"/>
    </xf>
    <xf numFmtId="0" fontId="7" fillId="0" borderId="36" xfId="0" applyFont="1" applyBorder="1" applyAlignment="1"/>
    <xf numFmtId="0" fontId="3" fillId="0" borderId="37" xfId="0" applyFont="1" applyFill="1" applyBorder="1" applyAlignment="1">
      <alignment horizontal="left" vertical="top"/>
    </xf>
    <xf numFmtId="0" fontId="8" fillId="0" borderId="0" xfId="0" applyFont="1" applyFill="1" applyBorder="1" applyAlignment="1">
      <alignment horizontal="center" vertical="center"/>
    </xf>
    <xf numFmtId="0" fontId="8" fillId="0" borderId="0" xfId="0" applyFont="1" applyFill="1" applyBorder="1" applyAlignment="1"/>
    <xf numFmtId="0" fontId="16" fillId="0" borderId="34"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5" xfId="0" applyFont="1" applyFill="1" applyBorder="1" applyAlignment="1">
      <alignment horizontal="left" vertical="top" wrapText="1"/>
    </xf>
    <xf numFmtId="0" fontId="16" fillId="0" borderId="6" xfId="0" applyFont="1" applyFill="1" applyBorder="1" applyAlignment="1">
      <alignment horizontal="left" vertical="top" wrapText="1"/>
    </xf>
    <xf numFmtId="0" fontId="5" fillId="0" borderId="6" xfId="0" applyFont="1" applyFill="1" applyBorder="1" applyAlignment="1">
      <alignment horizontal="right" vertical="top" wrapText="1"/>
    </xf>
    <xf numFmtId="0" fontId="3" fillId="0" borderId="38" xfId="0" applyFont="1" applyFill="1" applyBorder="1" applyAlignment="1">
      <alignment horizont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wrapText="1"/>
    </xf>
    <xf numFmtId="0" fontId="3" fillId="0" borderId="41" xfId="0" applyFont="1" applyFill="1" applyBorder="1" applyAlignment="1">
      <alignment horizontal="center" vertical="center" wrapText="1"/>
    </xf>
    <xf numFmtId="0" fontId="5" fillId="0" borderId="40" xfId="0" applyFont="1" applyFill="1" applyBorder="1" applyAlignment="1">
      <alignment horizontal="center" vertical="top" wrapText="1"/>
    </xf>
    <xf numFmtId="0" fontId="3" fillId="0" borderId="41" xfId="0" applyFont="1" applyFill="1" applyBorder="1" applyAlignment="1">
      <alignment horizontal="center" vertical="top" wrapText="1"/>
    </xf>
    <xf numFmtId="0" fontId="5" fillId="0" borderId="42" xfId="0" applyFont="1" applyFill="1" applyBorder="1" applyAlignment="1">
      <alignment horizontal="right" vertical="top" wrapText="1"/>
    </xf>
    <xf numFmtId="0" fontId="5" fillId="0" borderId="39"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39" xfId="0" applyFont="1" applyFill="1" applyBorder="1" applyAlignment="1">
      <alignment horizontal="right" vertical="top" wrapText="1"/>
    </xf>
    <xf numFmtId="0" fontId="5" fillId="0" borderId="34" xfId="0" applyFont="1" applyFill="1" applyBorder="1" applyAlignment="1">
      <alignment horizontal="right" vertical="top" wrapText="1"/>
    </xf>
    <xf numFmtId="0" fontId="5" fillId="0" borderId="41"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41" xfId="0" applyFont="1" applyFill="1" applyBorder="1" applyAlignment="1">
      <alignment horizontal="right" vertical="top" wrapText="1"/>
    </xf>
    <xf numFmtId="0" fontId="5" fillId="0" borderId="5" xfId="0" applyFont="1" applyFill="1" applyBorder="1" applyAlignment="1">
      <alignment horizontal="right" vertical="top" wrapText="1"/>
    </xf>
    <xf numFmtId="0" fontId="5" fillId="0" borderId="4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43" xfId="0" applyFont="1" applyFill="1" applyBorder="1" applyAlignment="1">
      <alignment horizontal="right" vertical="top" wrapText="1"/>
    </xf>
    <xf numFmtId="0" fontId="3" fillId="0" borderId="0" xfId="0" applyFont="1" applyFill="1" applyAlignment="1">
      <alignment horizontal="left" vertical="top" wrapText="1"/>
    </xf>
    <xf numFmtId="0" fontId="5" fillId="0" borderId="0" xfId="0" applyFont="1" applyFill="1" applyAlignment="1">
      <alignment horizontal="right" vertical="top" wrapText="1"/>
    </xf>
    <xf numFmtId="0" fontId="5" fillId="0" borderId="0" xfId="0" applyFont="1" applyFill="1"/>
    <xf numFmtId="8" fontId="3" fillId="0" borderId="0" xfId="0" applyNumberFormat="1" applyFont="1" applyFill="1" applyBorder="1" applyAlignment="1">
      <alignment horizontal="right" vertical="top" wrapText="1"/>
    </xf>
    <xf numFmtId="0" fontId="3" fillId="0" borderId="36" xfId="0" applyFont="1" applyFill="1" applyBorder="1" applyAlignment="1">
      <alignment horizontal="left" vertical="top"/>
    </xf>
    <xf numFmtId="0" fontId="8" fillId="0" borderId="27" xfId="0" applyFont="1" applyFill="1" applyBorder="1"/>
    <xf numFmtId="0" fontId="27" fillId="0" borderId="0" xfId="0" applyFont="1" applyAlignment="1">
      <alignment horizontal="justify"/>
    </xf>
    <xf numFmtId="0" fontId="28" fillId="0" borderId="0" xfId="0" applyFont="1" applyAlignment="1">
      <alignment horizontal="justify"/>
    </xf>
    <xf numFmtId="0" fontId="29" fillId="0" borderId="0" xfId="0" applyFont="1" applyAlignment="1">
      <alignment horizontal="justify"/>
    </xf>
    <xf numFmtId="0" fontId="30" fillId="0" borderId="0" xfId="0" applyFont="1" applyAlignment="1">
      <alignment horizontal="justify"/>
    </xf>
    <xf numFmtId="0" fontId="27" fillId="0" borderId="0" xfId="0" applyFont="1" applyAlignment="1"/>
    <xf numFmtId="0" fontId="27" fillId="0" borderId="0" xfId="0" applyFont="1" applyAlignment="1">
      <alignment wrapText="1"/>
    </xf>
    <xf numFmtId="0" fontId="28" fillId="0" borderId="0" xfId="0" applyFont="1" applyAlignment="1">
      <alignment wrapText="1"/>
    </xf>
    <xf numFmtId="0" fontId="28" fillId="0" borderId="0" xfId="0" applyFont="1" applyAlignment="1"/>
    <xf numFmtId="43" fontId="11" fillId="0" borderId="44" xfId="2" applyFont="1" applyFill="1" applyBorder="1" applyAlignment="1">
      <alignment horizontal="center" vertical="center"/>
    </xf>
    <xf numFmtId="43" fontId="11" fillId="0" borderId="45" xfId="2" applyFont="1" applyFill="1" applyBorder="1" applyAlignment="1">
      <alignment horizontal="center" vertical="center"/>
    </xf>
    <xf numFmtId="43" fontId="11" fillId="0" borderId="0" xfId="2" applyFont="1" applyFill="1" applyAlignment="1">
      <alignment horizontal="center" vertical="center"/>
    </xf>
    <xf numFmtId="43" fontId="12" fillId="0" borderId="0" xfId="2" applyFont="1" applyFill="1" applyAlignment="1">
      <alignment horizontal="center" vertical="center"/>
    </xf>
    <xf numFmtId="10" fontId="11" fillId="0" borderId="45" xfId="0" applyNumberFormat="1" applyFont="1" applyFill="1" applyBorder="1" applyAlignment="1">
      <alignment horizontal="center" vertical="center"/>
    </xf>
    <xf numFmtId="0" fontId="11" fillId="0" borderId="0" xfId="0" applyFont="1" applyFill="1" applyAlignment="1"/>
    <xf numFmtId="8" fontId="12" fillId="0" borderId="0" xfId="0" applyNumberFormat="1" applyFont="1" applyFill="1" applyBorder="1" applyAlignment="1">
      <alignment horizontal="right"/>
    </xf>
    <xf numFmtId="0" fontId="12" fillId="0" borderId="46" xfId="0" applyFont="1" applyFill="1" applyBorder="1" applyAlignment="1">
      <alignment horizontal="left" vertical="center"/>
    </xf>
    <xf numFmtId="3" fontId="12" fillId="0" borderId="47" xfId="0" applyNumberFormat="1" applyFont="1" applyFill="1" applyBorder="1" applyAlignment="1">
      <alignment horizontal="center" vertical="center"/>
    </xf>
    <xf numFmtId="3" fontId="12" fillId="0" borderId="48" xfId="0" applyNumberFormat="1" applyFont="1" applyFill="1" applyBorder="1" applyAlignment="1">
      <alignment horizontal="center" vertical="center"/>
    </xf>
    <xf numFmtId="0" fontId="11" fillId="0" borderId="45" xfId="0" applyFont="1" applyFill="1" applyBorder="1" applyAlignment="1">
      <alignment horizontal="left" vertical="center"/>
    </xf>
    <xf numFmtId="0" fontId="12" fillId="0" borderId="45" xfId="0" applyFont="1" applyFill="1" applyBorder="1" applyAlignment="1">
      <alignment horizontal="center" vertical="center"/>
    </xf>
    <xf numFmtId="0" fontId="12" fillId="0" borderId="49" xfId="0" applyFont="1" applyFill="1" applyBorder="1" applyAlignment="1">
      <alignment horizontal="left" vertical="center"/>
    </xf>
    <xf numFmtId="0" fontId="12" fillId="0" borderId="44" xfId="0" applyNumberFormat="1" applyFont="1" applyFill="1" applyBorder="1" applyAlignment="1">
      <alignment horizontal="left" vertical="center"/>
    </xf>
    <xf numFmtId="0" fontId="12" fillId="0" borderId="48" xfId="0" applyNumberFormat="1" applyFont="1" applyFill="1" applyBorder="1" applyAlignment="1">
      <alignment horizontal="left" vertical="center"/>
    </xf>
    <xf numFmtId="0" fontId="12" fillId="0" borderId="47" xfId="0" applyNumberFormat="1" applyFont="1" applyFill="1" applyBorder="1" applyAlignment="1">
      <alignment horizontal="left" vertical="center"/>
    </xf>
    <xf numFmtId="0" fontId="12" fillId="0" borderId="45" xfId="0" applyNumberFormat="1" applyFont="1" applyFill="1" applyBorder="1" applyAlignment="1">
      <alignment horizontal="left" vertical="center"/>
    </xf>
    <xf numFmtId="0" fontId="12" fillId="0" borderId="50" xfId="0" applyNumberFormat="1" applyFont="1" applyFill="1" applyBorder="1" applyAlignment="1"/>
    <xf numFmtId="43" fontId="12" fillId="0" borderId="44" xfId="2" applyFont="1" applyFill="1" applyBorder="1" applyAlignment="1"/>
    <xf numFmtId="43" fontId="12" fillId="0" borderId="45" xfId="2" applyFont="1" applyFill="1" applyBorder="1" applyAlignment="1"/>
    <xf numFmtId="0" fontId="11" fillId="0" borderId="51" xfId="0" applyNumberFormat="1" applyFont="1" applyFill="1" applyBorder="1" applyAlignment="1"/>
    <xf numFmtId="43" fontId="11" fillId="0" borderId="52" xfId="2" applyFont="1" applyFill="1" applyBorder="1" applyAlignment="1"/>
    <xf numFmtId="43" fontId="11" fillId="0" borderId="11" xfId="2" applyFont="1" applyFill="1" applyBorder="1" applyAlignment="1"/>
    <xf numFmtId="43" fontId="11" fillId="0" borderId="43" xfId="2" applyFont="1" applyFill="1" applyBorder="1" applyAlignment="1"/>
    <xf numFmtId="43" fontId="11" fillId="0" borderId="5" xfId="2" applyFont="1" applyFill="1" applyBorder="1" applyAlignment="1"/>
    <xf numFmtId="43" fontId="11" fillId="0" borderId="53" xfId="2" applyFont="1" applyFill="1" applyBorder="1" applyAlignment="1"/>
    <xf numFmtId="43" fontId="11" fillId="0" borderId="6" xfId="2" applyFont="1" applyFill="1" applyBorder="1" applyAlignment="1"/>
    <xf numFmtId="43" fontId="11" fillId="0" borderId="54" xfId="2" applyFont="1" applyFill="1" applyBorder="1" applyAlignment="1">
      <alignment vertical="center"/>
    </xf>
    <xf numFmtId="43" fontId="11" fillId="0" borderId="55" xfId="2" applyFont="1" applyFill="1" applyBorder="1" applyAlignment="1"/>
    <xf numFmtId="43" fontId="11" fillId="0" borderId="4" xfId="2" applyFont="1" applyFill="1" applyBorder="1" applyAlignment="1"/>
    <xf numFmtId="43" fontId="11" fillId="0" borderId="36" xfId="2" applyFont="1" applyFill="1" applyBorder="1" applyAlignment="1"/>
    <xf numFmtId="43" fontId="11" fillId="0" borderId="37" xfId="2" applyFont="1" applyFill="1" applyBorder="1" applyAlignment="1"/>
    <xf numFmtId="43" fontId="11" fillId="0" borderId="56" xfId="2" applyFont="1" applyFill="1" applyBorder="1" applyAlignment="1"/>
    <xf numFmtId="43" fontId="11" fillId="0" borderId="57" xfId="2" applyFont="1" applyFill="1" applyBorder="1" applyAlignment="1"/>
    <xf numFmtId="43" fontId="11" fillId="0" borderId="27" xfId="2" applyFont="1" applyFill="1" applyBorder="1" applyAlignment="1"/>
    <xf numFmtId="43" fontId="11" fillId="0" borderId="57" xfId="2" applyFont="1" applyFill="1" applyBorder="1" applyAlignment="1">
      <alignment vertical="center"/>
    </xf>
    <xf numFmtId="0" fontId="11" fillId="0" borderId="58" xfId="0" applyNumberFormat="1" applyFont="1" applyFill="1" applyBorder="1" applyAlignment="1"/>
    <xf numFmtId="43" fontId="11" fillId="0" borderId="59" xfId="2" applyFont="1" applyFill="1" applyBorder="1" applyAlignment="1"/>
    <xf numFmtId="43" fontId="11" fillId="0" borderId="38" xfId="2" applyFont="1" applyFill="1" applyBorder="1" applyAlignment="1"/>
    <xf numFmtId="43" fontId="11" fillId="0" borderId="39" xfId="2" applyFont="1" applyFill="1" applyBorder="1" applyAlignment="1"/>
    <xf numFmtId="43" fontId="11" fillId="0" borderId="42" xfId="2" applyFont="1" applyFill="1" applyBorder="1" applyAlignment="1"/>
    <xf numFmtId="43" fontId="11" fillId="0" borderId="60" xfId="2" applyFont="1" applyFill="1" applyBorder="1" applyAlignment="1"/>
    <xf numFmtId="43" fontId="11" fillId="0" borderId="61" xfId="2" applyFont="1" applyFill="1" applyBorder="1" applyAlignment="1"/>
    <xf numFmtId="0" fontId="12" fillId="0" borderId="44" xfId="0" applyNumberFormat="1" applyFont="1" applyFill="1" applyBorder="1" applyAlignment="1"/>
    <xf numFmtId="43" fontId="11" fillId="0" borderId="44" xfId="2" applyFont="1" applyFill="1" applyBorder="1" applyAlignment="1"/>
    <xf numFmtId="43" fontId="11" fillId="0" borderId="45" xfId="2" applyFont="1" applyFill="1" applyBorder="1" applyAlignment="1"/>
    <xf numFmtId="43" fontId="12" fillId="0" borderId="47" xfId="2" applyFont="1" applyFill="1" applyBorder="1" applyAlignment="1">
      <alignment horizontal="left" vertical="center"/>
    </xf>
    <xf numFmtId="43" fontId="12" fillId="0" borderId="44" xfId="2" applyFont="1" applyFill="1" applyBorder="1" applyAlignment="1">
      <alignment horizontal="left" vertical="center"/>
    </xf>
    <xf numFmtId="43" fontId="12" fillId="0" borderId="48" xfId="2" applyFont="1" applyFill="1" applyBorder="1" applyAlignment="1">
      <alignment horizontal="left" vertical="center"/>
    </xf>
    <xf numFmtId="43" fontId="12" fillId="0" borderId="44" xfId="2" applyFont="1" applyFill="1" applyBorder="1" applyAlignment="1">
      <alignment horizontal="center" vertical="center"/>
    </xf>
    <xf numFmtId="0" fontId="11" fillId="0" borderId="50" xfId="0" applyNumberFormat="1" applyFont="1" applyFill="1" applyBorder="1" applyAlignment="1"/>
    <xf numFmtId="43" fontId="12" fillId="0" borderId="4" xfId="2" applyFont="1" applyBorder="1" applyProtection="1">
      <protection locked="0"/>
    </xf>
    <xf numFmtId="43" fontId="11" fillId="0" borderId="4" xfId="2" applyFont="1" applyBorder="1" applyProtection="1">
      <protection locked="0"/>
    </xf>
    <xf numFmtId="43" fontId="5" fillId="0" borderId="4" xfId="2" applyFont="1" applyBorder="1" applyAlignment="1">
      <alignment horizontal="right" vertical="top" wrapText="1"/>
    </xf>
    <xf numFmtId="43" fontId="9" fillId="0" borderId="4" xfId="2" applyFont="1" applyBorder="1" applyAlignment="1">
      <alignment horizontal="right" vertical="top" wrapText="1"/>
    </xf>
    <xf numFmtId="43" fontId="11" fillId="0" borderId="49" xfId="2" applyFont="1" applyFill="1" applyBorder="1" applyAlignment="1"/>
    <xf numFmtId="43" fontId="11" fillId="0" borderId="0" xfId="2" applyFont="1" applyFill="1" applyBorder="1" applyAlignment="1"/>
    <xf numFmtId="0" fontId="12" fillId="0" borderId="51" xfId="0" applyNumberFormat="1" applyFont="1" applyFill="1" applyBorder="1" applyAlignment="1"/>
    <xf numFmtId="43" fontId="11" fillId="0" borderId="47" xfId="2" applyFont="1" applyFill="1" applyBorder="1" applyAlignment="1"/>
    <xf numFmtId="0" fontId="12" fillId="0" borderId="47" xfId="0" applyNumberFormat="1" applyFont="1" applyFill="1" applyBorder="1" applyAlignment="1"/>
    <xf numFmtId="43" fontId="22" fillId="4" borderId="44" xfId="2" applyFont="1" applyFill="1" applyBorder="1" applyAlignment="1">
      <alignment horizontal="right"/>
    </xf>
    <xf numFmtId="43" fontId="12" fillId="4" borderId="44" xfId="2" applyFont="1" applyFill="1" applyBorder="1" applyAlignment="1">
      <alignment horizontal="right"/>
    </xf>
    <xf numFmtId="43" fontId="12" fillId="4" borderId="47" xfId="2" applyFont="1" applyFill="1" applyBorder="1" applyAlignment="1">
      <alignment horizontal="right"/>
    </xf>
    <xf numFmtId="43" fontId="12" fillId="4" borderId="45" xfId="2" applyFont="1" applyFill="1" applyBorder="1" applyAlignment="1">
      <alignment horizontal="right"/>
    </xf>
    <xf numFmtId="43" fontId="11" fillId="4" borderId="45" xfId="2" applyFont="1" applyFill="1" applyBorder="1" applyAlignment="1">
      <alignment horizontal="right" vertical="center"/>
    </xf>
    <xf numFmtId="0" fontId="5" fillId="0" borderId="0" xfId="0" applyFont="1"/>
    <xf numFmtId="164" fontId="5" fillId="0" borderId="0" xfId="2" applyNumberFormat="1" applyFont="1"/>
    <xf numFmtId="0" fontId="11" fillId="0" borderId="0" xfId="0" applyFont="1"/>
    <xf numFmtId="43" fontId="11" fillId="0" borderId="0" xfId="0" applyNumberFormat="1" applyFont="1" applyProtection="1">
      <protection locked="0"/>
    </xf>
    <xf numFmtId="0" fontId="11" fillId="0" borderId="0" xfId="0" applyFont="1" applyProtection="1">
      <protection locked="0"/>
    </xf>
    <xf numFmtId="43" fontId="11" fillId="0" borderId="0" xfId="0" applyNumberFormat="1" applyFont="1"/>
    <xf numFmtId="0" fontId="9" fillId="0" borderId="0" xfId="0" applyFont="1" applyAlignment="1">
      <alignment horizontal="center"/>
    </xf>
    <xf numFmtId="3" fontId="23" fillId="0" borderId="0" xfId="0" applyNumberFormat="1" applyFont="1" applyAlignment="1">
      <alignment horizontal="center"/>
    </xf>
    <xf numFmtId="0" fontId="9" fillId="2" borderId="36" xfId="0" applyFont="1" applyFill="1" applyBorder="1"/>
    <xf numFmtId="0" fontId="9" fillId="2" borderId="37" xfId="0" applyFont="1" applyFill="1" applyBorder="1" applyAlignment="1">
      <alignment horizontal="center"/>
    </xf>
    <xf numFmtId="38" fontId="18" fillId="2" borderId="27" xfId="0" applyNumberFormat="1" applyFont="1" applyFill="1" applyBorder="1"/>
    <xf numFmtId="38" fontId="18" fillId="2" borderId="37" xfId="0" applyNumberFormat="1" applyFont="1" applyFill="1" applyBorder="1"/>
    <xf numFmtId="10" fontId="18" fillId="2" borderId="36" xfId="0" applyNumberFormat="1" applyFont="1" applyFill="1" applyBorder="1"/>
    <xf numFmtId="10" fontId="18" fillId="2" borderId="27" xfId="0" applyNumberFormat="1" applyFont="1" applyFill="1" applyBorder="1"/>
    <xf numFmtId="10" fontId="18" fillId="2" borderId="4" xfId="0" applyNumberFormat="1" applyFont="1" applyFill="1" applyBorder="1"/>
    <xf numFmtId="0" fontId="18" fillId="2" borderId="4" xfId="0" applyFont="1" applyFill="1" applyBorder="1"/>
    <xf numFmtId="38" fontId="18" fillId="2" borderId="4" xfId="0" applyNumberFormat="1" applyFont="1" applyFill="1" applyBorder="1"/>
    <xf numFmtId="10" fontId="18" fillId="2" borderId="43" xfId="0" applyNumberFormat="1" applyFont="1" applyFill="1" applyBorder="1"/>
    <xf numFmtId="10" fontId="18" fillId="2" borderId="6" xfId="0" applyNumberFormat="1" applyFont="1" applyFill="1" applyBorder="1"/>
    <xf numFmtId="0" fontId="18" fillId="2" borderId="40" xfId="0" applyFont="1" applyFill="1" applyBorder="1"/>
    <xf numFmtId="38" fontId="18" fillId="2" borderId="5" xfId="0" applyNumberFormat="1" applyFont="1" applyFill="1" applyBorder="1"/>
    <xf numFmtId="38" fontId="18" fillId="2" borderId="6" xfId="0" applyNumberFormat="1" applyFont="1" applyFill="1" applyBorder="1"/>
    <xf numFmtId="38" fontId="18" fillId="2" borderId="36" xfId="0" applyNumberFormat="1" applyFont="1" applyFill="1" applyBorder="1"/>
    <xf numFmtId="43" fontId="20" fillId="0" borderId="34" xfId="2" applyFont="1" applyFill="1" applyBorder="1"/>
    <xf numFmtId="43" fontId="20" fillId="2" borderId="34" xfId="2" applyFont="1" applyFill="1" applyBorder="1"/>
    <xf numFmtId="43" fontId="20" fillId="2" borderId="38" xfId="0" applyNumberFormat="1" applyFont="1" applyFill="1" applyBorder="1"/>
    <xf numFmtId="49" fontId="5" fillId="2" borderId="41" xfId="0" applyNumberFormat="1" applyFont="1" applyFill="1" applyBorder="1" applyAlignment="1">
      <alignment horizontal="right"/>
    </xf>
    <xf numFmtId="0" fontId="5" fillId="2" borderId="34" xfId="0" applyFont="1" applyFill="1" applyBorder="1"/>
    <xf numFmtId="43" fontId="18" fillId="0" borderId="34" xfId="2" applyFont="1" applyFill="1" applyBorder="1"/>
    <xf numFmtId="43" fontId="18" fillId="0" borderId="40" xfId="2" applyFont="1" applyFill="1" applyBorder="1"/>
    <xf numFmtId="43" fontId="18" fillId="0" borderId="0" xfId="2" applyFont="1" applyFill="1" applyBorder="1"/>
    <xf numFmtId="43" fontId="18" fillId="2" borderId="40" xfId="2" applyFont="1" applyFill="1" applyBorder="1"/>
    <xf numFmtId="43" fontId="20" fillId="2" borderId="40" xfId="0" applyNumberFormat="1" applyFont="1" applyFill="1" applyBorder="1"/>
    <xf numFmtId="0" fontId="5" fillId="2" borderId="41" xfId="0" applyFont="1" applyFill="1" applyBorder="1"/>
    <xf numFmtId="43" fontId="9" fillId="0" borderId="34" xfId="2" applyFont="1" applyFill="1" applyBorder="1"/>
    <xf numFmtId="43" fontId="9" fillId="2" borderId="34" xfId="2" applyFont="1" applyFill="1" applyBorder="1"/>
    <xf numFmtId="38" fontId="5" fillId="2" borderId="34" xfId="0" applyNumberFormat="1" applyFont="1" applyFill="1" applyBorder="1"/>
    <xf numFmtId="43" fontId="5" fillId="0" borderId="34" xfId="2" applyFont="1" applyFill="1" applyBorder="1"/>
    <xf numFmtId="43" fontId="5" fillId="0" borderId="40" xfId="2" applyFont="1" applyFill="1" applyBorder="1"/>
    <xf numFmtId="43" fontId="5" fillId="0" borderId="0" xfId="2" applyFont="1" applyFill="1" applyBorder="1"/>
    <xf numFmtId="0" fontId="18" fillId="2" borderId="41" xfId="0" applyFont="1" applyFill="1" applyBorder="1"/>
    <xf numFmtId="0" fontId="18" fillId="2" borderId="34" xfId="0" applyFont="1" applyFill="1" applyBorder="1"/>
    <xf numFmtId="43" fontId="18" fillId="0" borderId="0" xfId="2" applyFont="1" applyFill="1"/>
    <xf numFmtId="43" fontId="18" fillId="2" borderId="34" xfId="2" applyFont="1" applyFill="1" applyBorder="1"/>
    <xf numFmtId="0" fontId="20" fillId="2" borderId="34" xfId="0" applyFont="1" applyFill="1" applyBorder="1"/>
    <xf numFmtId="43" fontId="20" fillId="0" borderId="40" xfId="2" applyFont="1" applyFill="1" applyBorder="1"/>
    <xf numFmtId="43" fontId="20" fillId="0" borderId="0" xfId="2" applyFont="1" applyFill="1"/>
    <xf numFmtId="43" fontId="20" fillId="2" borderId="40" xfId="2" applyFont="1" applyFill="1" applyBorder="1"/>
    <xf numFmtId="0" fontId="20" fillId="2" borderId="41" xfId="0" applyFont="1" applyFill="1" applyBorder="1"/>
    <xf numFmtId="43" fontId="20" fillId="2" borderId="37" xfId="2" applyFont="1" applyFill="1" applyBorder="1"/>
    <xf numFmtId="0" fontId="18" fillId="0" borderId="0" xfId="0" applyFont="1"/>
    <xf numFmtId="43" fontId="18" fillId="0" borderId="0" xfId="0" applyNumberFormat="1" applyFont="1"/>
    <xf numFmtId="0" fontId="5" fillId="0" borderId="0" xfId="0" applyFont="1" applyFill="1" applyBorder="1"/>
    <xf numFmtId="0" fontId="5" fillId="0" borderId="0" xfId="0" applyFont="1" applyAlignment="1">
      <alignment horizontal="left"/>
    </xf>
    <xf numFmtId="0" fontId="5" fillId="0" borderId="0" xfId="0" applyFont="1" applyAlignment="1"/>
    <xf numFmtId="0" fontId="27" fillId="0" borderId="0" xfId="0" applyFont="1"/>
    <xf numFmtId="0" fontId="12" fillId="0" borderId="0" xfId="0" applyFont="1" applyAlignment="1">
      <alignment horizontal="center"/>
    </xf>
    <xf numFmtId="0" fontId="12" fillId="0" borderId="0" xfId="0" applyFont="1" applyBorder="1" applyAlignment="1">
      <alignment horizontal="center"/>
    </xf>
    <xf numFmtId="0" fontId="12" fillId="0" borderId="37" xfId="0" applyFont="1" applyFill="1" applyBorder="1"/>
    <xf numFmtId="43" fontId="11" fillId="0" borderId="27" xfId="2" applyFont="1" applyFill="1" applyBorder="1"/>
    <xf numFmtId="0" fontId="12" fillId="0" borderId="5" xfId="0" applyFont="1" applyFill="1" applyBorder="1"/>
    <xf numFmtId="0" fontId="12" fillId="0" borderId="37" xfId="0" applyFont="1" applyFill="1" applyBorder="1" applyAlignment="1">
      <alignment horizontal="left" indent="2"/>
    </xf>
    <xf numFmtId="43" fontId="12" fillId="0" borderId="27" xfId="2" applyFont="1" applyFill="1" applyBorder="1"/>
    <xf numFmtId="0" fontId="12" fillId="0" borderId="0" xfId="0" applyFont="1"/>
    <xf numFmtId="0" fontId="12" fillId="0" borderId="37" xfId="0" applyFont="1" applyFill="1" applyBorder="1" applyAlignment="1">
      <alignment horizontal="left"/>
    </xf>
    <xf numFmtId="0" fontId="24" fillId="0" borderId="0" xfId="0" applyFont="1"/>
    <xf numFmtId="0" fontId="12" fillId="0" borderId="61" xfId="0" applyFont="1" applyFill="1" applyBorder="1" applyAlignment="1">
      <alignment horizontal="left"/>
    </xf>
    <xf numFmtId="0" fontId="12" fillId="0" borderId="0" xfId="0" applyFont="1" applyFill="1" applyBorder="1" applyAlignment="1">
      <alignment horizontal="left"/>
    </xf>
    <xf numFmtId="0" fontId="9" fillId="5" borderId="38" xfId="0" applyFont="1" applyFill="1" applyBorder="1" applyAlignment="1">
      <alignment horizontal="center"/>
    </xf>
    <xf numFmtId="0" fontId="5" fillId="0" borderId="4" xfId="0" applyFont="1" applyBorder="1"/>
    <xf numFmtId="43" fontId="5" fillId="6" borderId="4" xfId="2" applyFont="1" applyFill="1" applyBorder="1"/>
    <xf numFmtId="43" fontId="9" fillId="3" borderId="4" xfId="2" applyFont="1" applyFill="1" applyBorder="1"/>
    <xf numFmtId="43" fontId="5" fillId="7" borderId="4" xfId="2" applyFont="1" applyFill="1" applyBorder="1" applyProtection="1">
      <protection locked="0"/>
    </xf>
    <xf numFmtId="43" fontId="5" fillId="0" borderId="4" xfId="2" applyFont="1" applyBorder="1" applyProtection="1">
      <protection locked="0"/>
    </xf>
    <xf numFmtId="43" fontId="9" fillId="0" borderId="4" xfId="2" applyFont="1" applyBorder="1" applyProtection="1">
      <protection locked="0"/>
    </xf>
    <xf numFmtId="43" fontId="9" fillId="6" borderId="4" xfId="2" applyFont="1" applyFill="1" applyBorder="1"/>
    <xf numFmtId="0" fontId="5" fillId="0" borderId="4" xfId="0" applyFont="1" applyBorder="1" applyAlignment="1">
      <alignment horizontal="left" indent="1"/>
    </xf>
    <xf numFmtId="0" fontId="5" fillId="0" borderId="4" xfId="0" applyFont="1" applyBorder="1" applyAlignment="1">
      <alignment horizontal="left" indent="2"/>
    </xf>
    <xf numFmtId="0" fontId="9" fillId="3" borderId="4" xfId="0" applyFont="1" applyFill="1" applyBorder="1"/>
    <xf numFmtId="0" fontId="9" fillId="0" borderId="0" xfId="0" applyFont="1" applyProtection="1">
      <protection locked="0"/>
    </xf>
    <xf numFmtId="0" fontId="25" fillId="0" borderId="0" xfId="0" applyFont="1" applyFill="1"/>
    <xf numFmtId="0" fontId="9" fillId="0" borderId="62" xfId="0" applyFont="1" applyFill="1" applyBorder="1" applyAlignment="1">
      <alignment wrapText="1"/>
    </xf>
    <xf numFmtId="0" fontId="5" fillId="0" borderId="0" xfId="0" applyFont="1" applyFill="1" applyAlignment="1">
      <alignment horizontal="center" vertical="center"/>
    </xf>
    <xf numFmtId="0" fontId="9" fillId="0" borderId="63" xfId="0" applyFont="1" applyFill="1" applyBorder="1" applyAlignment="1">
      <alignment horizontal="center" vertical="top" wrapText="1"/>
    </xf>
    <xf numFmtId="0" fontId="9" fillId="0" borderId="64" xfId="0" applyFont="1" applyFill="1" applyBorder="1" applyAlignment="1">
      <alignment horizontal="center" vertical="top" wrapText="1"/>
    </xf>
    <xf numFmtId="0" fontId="9" fillId="0" borderId="65" xfId="0" applyFont="1" applyFill="1" applyBorder="1" applyAlignment="1">
      <alignment horizontal="center" wrapText="1"/>
    </xf>
    <xf numFmtId="0" fontId="9" fillId="0" borderId="66" xfId="0" applyFont="1" applyFill="1" applyBorder="1" applyAlignment="1">
      <alignment horizontal="center" vertical="top" wrapText="1"/>
    </xf>
    <xf numFmtId="0" fontId="9" fillId="0" borderId="67" xfId="0" applyFont="1" applyFill="1" applyBorder="1" applyAlignment="1">
      <alignment horizontal="center" vertical="top" wrapText="1"/>
    </xf>
    <xf numFmtId="0" fontId="9" fillId="0" borderId="2" xfId="0" applyFont="1" applyFill="1" applyBorder="1" applyAlignment="1">
      <alignment horizontal="center" wrapText="1"/>
    </xf>
    <xf numFmtId="0" fontId="9" fillId="0" borderId="68" xfId="0" applyFont="1" applyFill="1" applyBorder="1" applyAlignment="1">
      <alignment horizontal="center" vertical="top" wrapText="1"/>
    </xf>
    <xf numFmtId="0" fontId="9" fillId="0" borderId="69" xfId="0" applyFont="1" applyFill="1" applyBorder="1" applyAlignment="1">
      <alignment vertical="top" wrapText="1"/>
    </xf>
    <xf numFmtId="0" fontId="9" fillId="0" borderId="69" xfId="0" applyFont="1" applyFill="1" applyBorder="1" applyAlignment="1">
      <alignment horizontal="center" vertical="top" wrapText="1"/>
    </xf>
    <xf numFmtId="0" fontId="9" fillId="0" borderId="70" xfId="0" applyFont="1" applyFill="1" applyBorder="1" applyAlignment="1">
      <alignment horizontal="center" wrapText="1"/>
    </xf>
    <xf numFmtId="0" fontId="9" fillId="0" borderId="34" xfId="0" applyFont="1" applyFill="1" applyBorder="1" applyAlignment="1">
      <alignment wrapText="1"/>
    </xf>
    <xf numFmtId="43" fontId="9" fillId="0" borderId="34" xfId="2" applyFont="1" applyFill="1" applyBorder="1" applyAlignment="1">
      <alignment wrapText="1"/>
    </xf>
    <xf numFmtId="43" fontId="9" fillId="0" borderId="0" xfId="2" applyFont="1" applyFill="1" applyAlignment="1">
      <alignment wrapText="1"/>
    </xf>
    <xf numFmtId="0" fontId="9" fillId="0" borderId="5" xfId="0" applyFont="1" applyFill="1" applyBorder="1" applyAlignment="1">
      <alignment wrapText="1"/>
    </xf>
    <xf numFmtId="43" fontId="9" fillId="0" borderId="5" xfId="2" applyFont="1" applyFill="1" applyBorder="1" applyAlignment="1">
      <alignment wrapText="1"/>
    </xf>
    <xf numFmtId="0" fontId="21" fillId="0" borderId="0" xfId="0" applyFont="1" applyFill="1"/>
    <xf numFmtId="0" fontId="26" fillId="0" borderId="49" xfId="0" applyFont="1" applyBorder="1"/>
    <xf numFmtId="0" fontId="26" fillId="0" borderId="0" xfId="0" applyFont="1" applyFill="1" applyBorder="1"/>
    <xf numFmtId="0" fontId="26" fillId="0" borderId="71" xfId="0" applyFont="1" applyFill="1" applyBorder="1"/>
    <xf numFmtId="166" fontId="26" fillId="0" borderId="0" xfId="1" applyNumberFormat="1" applyFont="1" applyFill="1" applyBorder="1"/>
    <xf numFmtId="166" fontId="26" fillId="0" borderId="71" xfId="1" applyNumberFormat="1" applyFont="1" applyFill="1" applyBorder="1"/>
    <xf numFmtId="164" fontId="26" fillId="0" borderId="0" xfId="2" applyNumberFormat="1" applyFont="1" applyFill="1" applyBorder="1"/>
    <xf numFmtId="164" fontId="26" fillId="0" borderId="71" xfId="2" applyNumberFormat="1" applyFont="1" applyFill="1" applyBorder="1"/>
    <xf numFmtId="0" fontId="26" fillId="0" borderId="72" xfId="0" applyFont="1" applyBorder="1"/>
    <xf numFmtId="164" fontId="26" fillId="0" borderId="73" xfId="2" applyNumberFormat="1" applyFont="1" applyFill="1" applyBorder="1"/>
    <xf numFmtId="0" fontId="26" fillId="0" borderId="0" xfId="0" applyFont="1"/>
    <xf numFmtId="166" fontId="21" fillId="0" borderId="0" xfId="0" applyNumberFormat="1" applyFont="1" applyFill="1"/>
    <xf numFmtId="0" fontId="28" fillId="0" borderId="0" xfId="0" applyFont="1" applyAlignment="1">
      <alignment horizontal="center"/>
    </xf>
    <xf numFmtId="167" fontId="9" fillId="0" borderId="34" xfId="2" applyNumberFormat="1" applyFont="1" applyFill="1" applyBorder="1" applyAlignment="1">
      <alignment wrapText="1"/>
    </xf>
    <xf numFmtId="167" fontId="9" fillId="0" borderId="0" xfId="2" applyNumberFormat="1" applyFont="1" applyFill="1" applyAlignment="1">
      <alignment wrapText="1"/>
    </xf>
    <xf numFmtId="0" fontId="22" fillId="0" borderId="0" xfId="0" applyNumberFormat="1" applyFont="1" applyFill="1" applyAlignment="1"/>
    <xf numFmtId="8" fontId="25" fillId="0" borderId="0" xfId="0" applyNumberFormat="1" applyFont="1" applyFill="1" applyBorder="1" applyAlignment="1">
      <alignment wrapText="1"/>
    </xf>
    <xf numFmtId="0" fontId="11" fillId="0" borderId="0" xfId="0" applyFont="1" applyFill="1"/>
    <xf numFmtId="0" fontId="11" fillId="0" borderId="0" xfId="0" applyFont="1" applyFill="1" applyBorder="1" applyAlignment="1"/>
    <xf numFmtId="0" fontId="12" fillId="0" borderId="0" xfId="0" applyNumberFormat="1" applyFont="1" applyFill="1" applyAlignment="1"/>
    <xf numFmtId="8" fontId="11" fillId="0" borderId="0" xfId="0" applyNumberFormat="1" applyFont="1" applyFill="1" applyBorder="1" applyAlignment="1">
      <alignment wrapText="1"/>
    </xf>
    <xf numFmtId="0" fontId="12" fillId="0" borderId="6" xfId="0" applyNumberFormat="1" applyFont="1" applyFill="1" applyBorder="1" applyAlignment="1"/>
    <xf numFmtId="8" fontId="11" fillId="0" borderId="6" xfId="0" applyNumberFormat="1" applyFont="1" applyFill="1" applyBorder="1" applyAlignment="1">
      <alignment wrapText="1"/>
    </xf>
    <xf numFmtId="0" fontId="11" fillId="0" borderId="38" xfId="0" applyFont="1" applyFill="1" applyBorder="1" applyAlignment="1">
      <alignment horizontal="center" wrapText="1"/>
    </xf>
    <xf numFmtId="3" fontId="11" fillId="0" borderId="40" xfId="0" applyNumberFormat="1" applyFont="1" applyFill="1" applyBorder="1" applyAlignment="1">
      <alignment horizontal="center" wrapText="1"/>
    </xf>
    <xf numFmtId="0" fontId="11" fillId="0" borderId="34" xfId="0" applyFont="1" applyFill="1" applyBorder="1" applyAlignment="1">
      <alignment horizontal="center" wrapText="1"/>
    </xf>
    <xf numFmtId="0" fontId="11" fillId="0" borderId="0" xfId="0" applyFont="1" applyFill="1" applyAlignment="1">
      <alignment horizontal="center" wrapText="1"/>
    </xf>
    <xf numFmtId="0" fontId="11" fillId="0" borderId="11" xfId="0" applyFont="1" applyFill="1" applyBorder="1" applyAlignment="1">
      <alignment horizontal="center" wrapText="1"/>
    </xf>
    <xf numFmtId="0" fontId="11" fillId="0" borderId="5" xfId="0" applyFont="1" applyFill="1" applyBorder="1" applyAlignment="1">
      <alignment horizontal="center" wrapText="1"/>
    </xf>
    <xf numFmtId="0" fontId="11" fillId="0" borderId="6" xfId="0" applyFont="1" applyFill="1" applyBorder="1" applyAlignment="1">
      <alignment horizontal="center" wrapText="1"/>
    </xf>
    <xf numFmtId="0" fontId="11" fillId="0" borderId="34" xfId="0" applyFont="1" applyFill="1" applyBorder="1" applyAlignment="1">
      <alignment wrapText="1"/>
    </xf>
    <xf numFmtId="4" fontId="11" fillId="0" borderId="34" xfId="0" applyNumberFormat="1" applyFont="1" applyBorder="1" applyAlignment="1">
      <alignment horizontal="right" wrapText="1"/>
    </xf>
    <xf numFmtId="169" fontId="11" fillId="0" borderId="34" xfId="0" applyNumberFormat="1" applyFont="1" applyFill="1" applyBorder="1" applyAlignment="1">
      <alignment wrapText="1"/>
    </xf>
    <xf numFmtId="43" fontId="11" fillId="0" borderId="34" xfId="2" applyFont="1" applyBorder="1" applyAlignment="1">
      <alignment wrapText="1"/>
    </xf>
    <xf numFmtId="43" fontId="11" fillId="0" borderId="34" xfId="0" applyNumberFormat="1" applyFont="1" applyFill="1" applyBorder="1" applyAlignment="1">
      <alignment vertical="top" wrapText="1"/>
    </xf>
    <xf numFmtId="4" fontId="11" fillId="0" borderId="34" xfId="0" applyNumberFormat="1" applyFont="1" applyBorder="1" applyAlignment="1">
      <alignment wrapText="1"/>
    </xf>
    <xf numFmtId="43" fontId="11" fillId="0" borderId="34" xfId="0" applyNumberFormat="1" applyFont="1" applyBorder="1" applyAlignment="1">
      <alignment wrapText="1"/>
    </xf>
    <xf numFmtId="0" fontId="11" fillId="0" borderId="34" xfId="0" applyFont="1" applyBorder="1" applyAlignment="1">
      <alignment wrapText="1"/>
    </xf>
    <xf numFmtId="0" fontId="11" fillId="0" borderId="5" xfId="0" applyFont="1" applyFill="1" applyBorder="1" applyAlignment="1">
      <alignment wrapText="1"/>
    </xf>
    <xf numFmtId="43" fontId="11" fillId="0" borderId="5" xfId="0" applyNumberFormat="1" applyFont="1" applyBorder="1" applyAlignment="1">
      <alignment wrapText="1"/>
    </xf>
    <xf numFmtId="43" fontId="11" fillId="0" borderId="5" xfId="2" applyFont="1" applyBorder="1" applyAlignment="1">
      <alignment wrapText="1"/>
    </xf>
    <xf numFmtId="2" fontId="11" fillId="0" borderId="0" xfId="0" applyNumberFormat="1" applyFont="1" applyFill="1" applyAlignment="1">
      <alignment vertical="top" wrapText="1"/>
    </xf>
    <xf numFmtId="0" fontId="11" fillId="0" borderId="61" xfId="0" applyFont="1" applyFill="1" applyBorder="1" applyAlignment="1">
      <alignment horizontal="left"/>
    </xf>
    <xf numFmtId="43" fontId="5" fillId="0" borderId="34" xfId="2" applyFont="1" applyFill="1" applyBorder="1" applyAlignment="1">
      <alignment wrapText="1"/>
    </xf>
    <xf numFmtId="43" fontId="5" fillId="0" borderId="5" xfId="2" applyFont="1" applyFill="1" applyBorder="1" applyAlignment="1">
      <alignment wrapText="1"/>
    </xf>
    <xf numFmtId="0" fontId="9" fillId="0" borderId="0" xfId="0" applyFont="1" applyFill="1" applyBorder="1" applyAlignment="1"/>
    <xf numFmtId="0" fontId="5" fillId="0" borderId="0" xfId="0" applyNumberFormat="1" applyFont="1" applyFill="1" applyBorder="1" applyAlignment="1"/>
    <xf numFmtId="8" fontId="5" fillId="0" borderId="0" xfId="0" applyNumberFormat="1" applyFont="1" applyFill="1" applyBorder="1" applyAlignment="1">
      <alignment horizontal="right"/>
    </xf>
    <xf numFmtId="0" fontId="5" fillId="0" borderId="61" xfId="0" applyNumberFormat="1" applyFont="1" applyFill="1" applyBorder="1" applyAlignment="1"/>
    <xf numFmtId="0" fontId="5" fillId="0" borderId="0" xfId="0" applyNumberFormat="1" applyFont="1" applyFill="1" applyBorder="1" applyAlignment="1">
      <alignment horizontal="center" vertical="center"/>
    </xf>
    <xf numFmtId="0" fontId="5" fillId="0" borderId="41" xfId="0" applyNumberFormat="1" applyFont="1" applyFill="1" applyBorder="1" applyAlignment="1">
      <alignment horizontal="center" vertical="center"/>
    </xf>
    <xf numFmtId="0" fontId="5" fillId="0" borderId="39" xfId="0" applyNumberFormat="1" applyFont="1" applyFill="1" applyBorder="1" applyAlignment="1">
      <alignment horizontal="center" vertical="center"/>
    </xf>
    <xf numFmtId="0" fontId="5" fillId="0" borderId="38" xfId="0" applyNumberFormat="1" applyFont="1" applyFill="1" applyBorder="1" applyAlignment="1">
      <alignment horizontal="center" vertical="center"/>
    </xf>
    <xf numFmtId="0" fontId="5" fillId="0" borderId="6" xfId="0" applyNumberFormat="1" applyFont="1" applyFill="1" applyBorder="1" applyAlignment="1"/>
    <xf numFmtId="0" fontId="5" fillId="0" borderId="41" xfId="0" applyNumberFormat="1" applyFont="1" applyFill="1" applyBorder="1" applyAlignment="1"/>
    <xf numFmtId="0" fontId="5" fillId="0" borderId="40" xfId="0" applyNumberFormat="1" applyFont="1" applyFill="1" applyBorder="1" applyAlignment="1"/>
    <xf numFmtId="0" fontId="5" fillId="0" borderId="6" xfId="0" applyNumberFormat="1" applyFont="1" applyFill="1" applyBorder="1" applyAlignment="1">
      <alignment horizontal="center"/>
    </xf>
    <xf numFmtId="0" fontId="5" fillId="0" borderId="11" xfId="0" applyNumberFormat="1" applyFont="1" applyFill="1" applyBorder="1" applyAlignment="1"/>
    <xf numFmtId="0" fontId="5" fillId="0" borderId="43" xfId="0" applyNumberFormat="1" applyFont="1" applyFill="1" applyBorder="1" applyAlignment="1"/>
    <xf numFmtId="43" fontId="5" fillId="0" borderId="39" xfId="2" applyFont="1" applyBorder="1" applyAlignment="1">
      <alignment horizontal="right" vertical="top" wrapText="1"/>
    </xf>
    <xf numFmtId="43" fontId="5" fillId="0" borderId="38" xfId="2" applyFont="1" applyFill="1" applyBorder="1" applyAlignment="1">
      <alignment vertical="top"/>
    </xf>
    <xf numFmtId="43" fontId="5" fillId="0" borderId="61" xfId="2" applyFont="1" applyBorder="1" applyAlignment="1">
      <alignment horizontal="right" vertical="top" wrapText="1"/>
    </xf>
    <xf numFmtId="43" fontId="5" fillId="0" borderId="38" xfId="0" applyNumberFormat="1" applyFont="1" applyFill="1" applyBorder="1" applyAlignment="1">
      <alignment vertical="top"/>
    </xf>
    <xf numFmtId="43" fontId="5" fillId="0" borderId="40" xfId="0" applyNumberFormat="1" applyFont="1" applyFill="1" applyBorder="1" applyAlignment="1">
      <alignment vertical="top"/>
    </xf>
    <xf numFmtId="43" fontId="5" fillId="0" borderId="41" xfId="2" applyFont="1" applyBorder="1" applyAlignment="1">
      <alignment horizontal="right" vertical="top" wrapText="1"/>
    </xf>
    <xf numFmtId="43" fontId="5" fillId="0" borderId="40" xfId="2" applyFont="1" applyFill="1" applyBorder="1" applyAlignment="1">
      <alignment vertical="top"/>
    </xf>
    <xf numFmtId="43" fontId="5" fillId="0" borderId="0" xfId="2" applyFont="1" applyBorder="1" applyAlignment="1">
      <alignment horizontal="right" vertical="top" wrapText="1"/>
    </xf>
    <xf numFmtId="43" fontId="5" fillId="0" borderId="43" xfId="2" applyFont="1" applyBorder="1" applyAlignment="1">
      <alignment horizontal="right" vertical="top" wrapText="1"/>
    </xf>
    <xf numFmtId="43" fontId="5" fillId="0" borderId="11" xfId="2" applyFont="1" applyFill="1" applyBorder="1" applyAlignment="1">
      <alignment vertical="top"/>
    </xf>
    <xf numFmtId="43" fontId="5" fillId="0" borderId="6" xfId="2" applyFont="1" applyBorder="1" applyAlignment="1">
      <alignment horizontal="right" vertical="top" wrapText="1"/>
    </xf>
    <xf numFmtId="43" fontId="5" fillId="0" borderId="11" xfId="0" applyNumberFormat="1" applyFont="1" applyFill="1" applyBorder="1" applyAlignment="1">
      <alignment vertical="top"/>
    </xf>
    <xf numFmtId="0" fontId="5" fillId="0" borderId="42" xfId="0" applyNumberFormat="1" applyFont="1" applyFill="1" applyBorder="1" applyAlignment="1">
      <alignment horizontal="center" vertical="center"/>
    </xf>
    <xf numFmtId="0" fontId="5" fillId="0" borderId="5" xfId="0" applyNumberFormat="1" applyFont="1" applyFill="1" applyBorder="1" applyAlignment="1"/>
    <xf numFmtId="0" fontId="5" fillId="0" borderId="11" xfId="0" applyNumberFormat="1" applyFont="1" applyFill="1" applyBorder="1" applyAlignment="1">
      <alignment horizontal="center"/>
    </xf>
    <xf numFmtId="0" fontId="5" fillId="0" borderId="0" xfId="0" applyNumberFormat="1" applyFont="1" applyFill="1" applyBorder="1" applyAlignment="1">
      <alignment vertical="top"/>
    </xf>
    <xf numFmtId="0" fontId="5" fillId="0" borderId="0" xfId="0" applyFont="1" applyBorder="1"/>
    <xf numFmtId="43" fontId="5" fillId="0" borderId="40" xfId="0" applyNumberFormat="1" applyFont="1" applyFill="1" applyBorder="1" applyAlignment="1"/>
    <xf numFmtId="43" fontId="5" fillId="0" borderId="11" xfId="0" applyNumberFormat="1" applyFont="1" applyFill="1" applyBorder="1" applyAlignment="1"/>
    <xf numFmtId="43" fontId="5" fillId="0" borderId="40" xfId="2" applyFont="1" applyFill="1" applyBorder="1" applyAlignment="1"/>
    <xf numFmtId="0" fontId="5" fillId="0" borderId="61" xfId="0" applyNumberFormat="1" applyFont="1" applyFill="1" applyBorder="1" applyAlignment="1">
      <alignment horizontal="center" vertical="center"/>
    </xf>
    <xf numFmtId="0" fontId="5" fillId="0" borderId="42" xfId="0" applyNumberFormat="1" applyFont="1" applyFill="1" applyBorder="1" applyAlignment="1">
      <alignment vertical="top"/>
    </xf>
    <xf numFmtId="43" fontId="5" fillId="0" borderId="40" xfId="2" applyFont="1" applyFill="1" applyBorder="1" applyAlignment="1">
      <alignment wrapText="1"/>
    </xf>
    <xf numFmtId="43" fontId="5" fillId="0" borderId="11" xfId="2" applyFont="1" applyFill="1" applyBorder="1" applyAlignment="1"/>
    <xf numFmtId="0" fontId="5" fillId="0" borderId="0" xfId="0" applyFont="1" applyFill="1" applyBorder="1" applyAlignment="1">
      <alignment horizontal="left" vertical="top" wrapText="1"/>
    </xf>
    <xf numFmtId="43" fontId="11" fillId="0" borderId="0" xfId="2" applyFont="1" applyProtection="1">
      <protection locked="0"/>
    </xf>
    <xf numFmtId="43" fontId="11" fillId="0" borderId="0" xfId="2" applyFont="1"/>
    <xf numFmtId="0" fontId="22" fillId="0" borderId="0" xfId="0" applyFont="1" applyFill="1" applyBorder="1" applyAlignment="1"/>
    <xf numFmtId="0" fontId="9" fillId="0" borderId="74" xfId="0" applyNumberFormat="1" applyFont="1" applyFill="1" applyBorder="1" applyAlignment="1"/>
    <xf numFmtId="0" fontId="5" fillId="0" borderId="35" xfId="0" applyFont="1" applyFill="1" applyBorder="1" applyAlignment="1">
      <alignment wrapText="1"/>
    </xf>
    <xf numFmtId="8" fontId="5" fillId="0" borderId="35" xfId="0" applyNumberFormat="1" applyFont="1" applyFill="1" applyBorder="1" applyAlignment="1">
      <alignment horizontal="right" wrapText="1"/>
    </xf>
    <xf numFmtId="0" fontId="5" fillId="0" borderId="34" xfId="0" applyFont="1" applyFill="1" applyBorder="1" applyAlignment="1">
      <alignment wrapText="1"/>
    </xf>
    <xf numFmtId="0" fontId="5" fillId="0" borderId="0" xfId="0" applyFont="1" applyFill="1" applyAlignment="1">
      <alignment wrapText="1"/>
    </xf>
    <xf numFmtId="0" fontId="5" fillId="0" borderId="5" xfId="0" applyFont="1" applyFill="1" applyBorder="1" applyAlignment="1">
      <alignment wrapText="1"/>
    </xf>
    <xf numFmtId="0" fontId="5" fillId="0" borderId="6" xfId="0" applyFont="1" applyFill="1" applyBorder="1" applyAlignment="1">
      <alignment wrapText="1"/>
    </xf>
    <xf numFmtId="0" fontId="5" fillId="0" borderId="37" xfId="0" applyFont="1" applyFill="1" applyBorder="1" applyAlignment="1">
      <alignment wrapText="1"/>
    </xf>
    <xf numFmtId="0" fontId="5" fillId="0" borderId="27" xfId="0" applyFont="1" applyFill="1" applyBorder="1" applyAlignment="1">
      <alignment wrapText="1"/>
    </xf>
    <xf numFmtId="0" fontId="5" fillId="0" borderId="0" xfId="0" applyFont="1" applyFill="1" applyBorder="1" applyAlignment="1">
      <alignment wrapText="1"/>
    </xf>
    <xf numFmtId="43" fontId="5" fillId="0" borderId="71" xfId="2" applyFont="1" applyBorder="1" applyAlignment="1">
      <alignment horizontal="center" vertical="top" wrapText="1"/>
    </xf>
    <xf numFmtId="43" fontId="5" fillId="0" borderId="37" xfId="0" applyNumberFormat="1" applyFont="1" applyFill="1" applyBorder="1" applyAlignment="1">
      <alignment wrapText="1"/>
    </xf>
    <xf numFmtId="43" fontId="5" fillId="0" borderId="4" xfId="2" applyFont="1" applyFill="1" applyBorder="1" applyAlignment="1">
      <alignment wrapText="1"/>
    </xf>
    <xf numFmtId="0" fontId="9" fillId="0" borderId="38" xfId="0" applyFont="1" applyFill="1" applyBorder="1" applyAlignment="1">
      <alignment horizontal="center" vertical="center" wrapText="1"/>
    </xf>
    <xf numFmtId="0" fontId="9" fillId="0" borderId="39" xfId="0" applyFont="1" applyFill="1" applyBorder="1" applyAlignment="1">
      <alignment horizontal="center" vertical="center"/>
    </xf>
    <xf numFmtId="0" fontId="9" fillId="0" borderId="43" xfId="0" applyFont="1" applyBorder="1" applyAlignment="1">
      <alignment horizontal="center"/>
    </xf>
    <xf numFmtId="0" fontId="5" fillId="0" borderId="34" xfId="0" applyFont="1" applyFill="1" applyBorder="1" applyAlignment="1">
      <alignment vertical="top" wrapText="1"/>
    </xf>
    <xf numFmtId="43" fontId="5" fillId="0" borderId="38" xfId="2" applyFont="1" applyFill="1" applyBorder="1" applyAlignment="1">
      <alignment vertical="top" wrapText="1"/>
    </xf>
    <xf numFmtId="43" fontId="5" fillId="0" borderId="39" xfId="2" applyFont="1" applyFill="1" applyBorder="1" applyAlignment="1">
      <alignment vertical="top" wrapText="1"/>
    </xf>
    <xf numFmtId="43" fontId="5" fillId="0" borderId="40" xfId="2" applyFont="1" applyFill="1" applyBorder="1" applyAlignment="1">
      <alignment vertical="top" wrapText="1"/>
    </xf>
    <xf numFmtId="43" fontId="5" fillId="0" borderId="41" xfId="2" applyFont="1" applyFill="1" applyBorder="1" applyAlignment="1">
      <alignment vertical="top" wrapText="1"/>
    </xf>
    <xf numFmtId="0" fontId="5" fillId="0" borderId="5" xfId="0" applyFont="1" applyFill="1" applyBorder="1" applyAlignment="1">
      <alignment vertical="top" wrapText="1"/>
    </xf>
    <xf numFmtId="43" fontId="5" fillId="0" borderId="11" xfId="2" applyFont="1" applyFill="1" applyBorder="1" applyAlignment="1">
      <alignment vertical="top" wrapText="1"/>
    </xf>
    <xf numFmtId="43" fontId="5" fillId="0" borderId="43" xfId="2" applyFont="1" applyFill="1" applyBorder="1" applyAlignment="1">
      <alignment vertical="top" wrapText="1"/>
    </xf>
    <xf numFmtId="43" fontId="5" fillId="0" borderId="5" xfId="2" applyFont="1" applyFill="1" applyBorder="1" applyAlignment="1">
      <alignment vertical="top" wrapText="1"/>
    </xf>
    <xf numFmtId="43" fontId="5" fillId="0" borderId="6" xfId="2" applyFont="1" applyFill="1" applyBorder="1" applyAlignment="1">
      <alignment vertical="top" wrapText="1"/>
    </xf>
    <xf numFmtId="0" fontId="9" fillId="0" borderId="39"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1" xfId="0" applyFont="1" applyBorder="1" applyAlignment="1">
      <alignment horizontal="center"/>
    </xf>
    <xf numFmtId="0" fontId="9" fillId="0" borderId="43" xfId="0" applyFont="1" applyFill="1" applyBorder="1" applyAlignment="1">
      <alignment horizontal="center" vertical="center" wrapText="1"/>
    </xf>
    <xf numFmtId="0" fontId="11" fillId="0" borderId="34" xfId="0" applyFont="1" applyFill="1" applyBorder="1" applyAlignment="1">
      <alignment vertical="top" wrapText="1"/>
    </xf>
    <xf numFmtId="0" fontId="5" fillId="0" borderId="0" xfId="0" applyFont="1" applyFill="1" applyAlignment="1">
      <alignment vertical="top" wrapText="1"/>
    </xf>
    <xf numFmtId="0" fontId="5" fillId="0" borderId="6" xfId="0" applyFont="1" applyFill="1" applyBorder="1" applyAlignment="1">
      <alignment vertical="top" wrapText="1"/>
    </xf>
    <xf numFmtId="0" fontId="9" fillId="0" borderId="34" xfId="0" applyFont="1" applyFill="1" applyBorder="1" applyAlignment="1">
      <alignment vertical="top" wrapText="1"/>
    </xf>
    <xf numFmtId="0" fontId="9" fillId="0" borderId="0" xfId="0" applyFont="1" applyFill="1" applyBorder="1" applyAlignment="1">
      <alignment vertical="top" wrapText="1"/>
    </xf>
    <xf numFmtId="0" fontId="9" fillId="0" borderId="44" xfId="0" applyFont="1" applyFill="1" applyBorder="1" applyAlignment="1">
      <alignment vertical="center" wrapText="1"/>
    </xf>
    <xf numFmtId="0" fontId="2" fillId="0" borderId="44" xfId="0" applyFont="1" applyFill="1" applyBorder="1" applyAlignment="1">
      <alignment horizontal="center"/>
    </xf>
    <xf numFmtId="0" fontId="9" fillId="0" borderId="44" xfId="0" applyFont="1" applyFill="1" applyBorder="1" applyAlignment="1">
      <alignment horizontal="center"/>
    </xf>
    <xf numFmtId="0" fontId="9" fillId="0" borderId="44" xfId="0" applyFont="1" applyFill="1" applyBorder="1" applyAlignment="1">
      <alignment vertical="top" wrapText="1"/>
    </xf>
    <xf numFmtId="43" fontId="5" fillId="0" borderId="34" xfId="2" applyFont="1" applyFill="1" applyBorder="1" applyAlignment="1">
      <alignment vertical="top" wrapText="1"/>
    </xf>
    <xf numFmtId="0" fontId="9" fillId="0" borderId="0" xfId="0" applyNumberFormat="1" applyFont="1" applyFill="1" applyAlignment="1"/>
    <xf numFmtId="0" fontId="12" fillId="0" borderId="0" xfId="0" applyFont="1" applyFill="1" applyBorder="1" applyAlignment="1"/>
    <xf numFmtId="0" fontId="11" fillId="0" borderId="0" xfId="0" applyNumberFormat="1" applyFont="1" applyFill="1" applyAlignment="1"/>
    <xf numFmtId="0" fontId="11" fillId="0" borderId="75" xfId="0" applyFont="1" applyFill="1" applyBorder="1" applyAlignment="1">
      <alignment horizontal="left"/>
    </xf>
    <xf numFmtId="0" fontId="11" fillId="0" borderId="70" xfId="0" applyFont="1" applyFill="1" applyBorder="1" applyAlignment="1">
      <alignment horizontal="left" wrapText="1"/>
    </xf>
    <xf numFmtId="0" fontId="11" fillId="0" borderId="76" xfId="0" applyFont="1" applyFill="1" applyBorder="1" applyAlignment="1">
      <alignment horizontal="left" wrapText="1"/>
    </xf>
    <xf numFmtId="8" fontId="11" fillId="0" borderId="62" xfId="0" applyNumberFormat="1" applyFont="1" applyFill="1" applyBorder="1" applyAlignment="1">
      <alignment horizontal="right" wrapText="1"/>
    </xf>
    <xf numFmtId="3" fontId="11" fillId="0" borderId="37" xfId="0" applyNumberFormat="1" applyFont="1" applyFill="1" applyBorder="1" applyAlignment="1">
      <alignment horizontal="center" vertical="top" wrapText="1"/>
    </xf>
    <xf numFmtId="0" fontId="11" fillId="0" borderId="39" xfId="0" applyFont="1" applyFill="1" applyBorder="1" applyAlignment="1">
      <alignment wrapText="1"/>
    </xf>
    <xf numFmtId="0" fontId="11" fillId="0" borderId="41" xfId="0" applyFont="1" applyFill="1" applyBorder="1" applyAlignment="1">
      <alignment wrapText="1"/>
    </xf>
    <xf numFmtId="0" fontId="11" fillId="0" borderId="6" xfId="0" applyFont="1" applyFill="1" applyBorder="1" applyAlignment="1">
      <alignment wrapText="1"/>
    </xf>
    <xf numFmtId="43" fontId="11" fillId="0" borderId="34" xfId="2" applyFont="1" applyFill="1" applyBorder="1" applyAlignment="1">
      <alignment wrapText="1"/>
    </xf>
    <xf numFmtId="43" fontId="11" fillId="0" borderId="5" xfId="2" applyFont="1" applyFill="1" applyBorder="1" applyAlignment="1">
      <alignment wrapText="1"/>
    </xf>
    <xf numFmtId="0" fontId="9" fillId="0" borderId="0" xfId="0" applyFont="1"/>
    <xf numFmtId="49" fontId="5" fillId="0" borderId="0" xfId="0" applyNumberFormat="1" applyFont="1"/>
    <xf numFmtId="0" fontId="3" fillId="0" borderId="0" xfId="0" applyFont="1" applyFill="1" applyBorder="1" applyAlignment="1">
      <alignment horizontal="center" vertical="center" wrapText="1"/>
    </xf>
    <xf numFmtId="0" fontId="2" fillId="0" borderId="0" xfId="0" applyFont="1" applyFill="1" applyBorder="1" applyAlignment="1">
      <alignment vertical="top" wrapText="1"/>
    </xf>
    <xf numFmtId="43" fontId="23" fillId="0" borderId="0" xfId="0" applyNumberFormat="1" applyFont="1" applyFill="1" applyBorder="1" applyAlignment="1">
      <alignment vertical="top" wrapText="1"/>
    </xf>
    <xf numFmtId="0" fontId="3" fillId="0" borderId="0" xfId="0" applyFont="1" applyFill="1" applyBorder="1" applyAlignment="1">
      <alignment vertical="top" wrapText="1"/>
    </xf>
    <xf numFmtId="43" fontId="16" fillId="0" borderId="0" xfId="0" applyNumberFormat="1" applyFont="1" applyFill="1" applyBorder="1" applyAlignment="1">
      <alignment vertical="top" wrapText="1"/>
    </xf>
    <xf numFmtId="43" fontId="23" fillId="0" borderId="0" xfId="0" applyNumberFormat="1" applyFont="1" applyFill="1" applyBorder="1" applyAlignment="1">
      <alignment horizontal="right" vertical="top" wrapText="1"/>
    </xf>
    <xf numFmtId="0" fontId="5" fillId="0" borderId="0" xfId="0" applyFont="1" applyFill="1" applyBorder="1" applyAlignment="1">
      <alignment horizontal="center" vertical="center"/>
    </xf>
    <xf numFmtId="0" fontId="5" fillId="0" borderId="37" xfId="0" applyFont="1" applyFill="1" applyBorder="1" applyAlignment="1">
      <alignment vertical="top" wrapText="1"/>
    </xf>
    <xf numFmtId="43" fontId="5" fillId="0" borderId="36" xfId="2" applyFont="1" applyFill="1" applyBorder="1" applyAlignment="1">
      <alignment vertical="top" wrapText="1"/>
    </xf>
    <xf numFmtId="43" fontId="5" fillId="0" borderId="0" xfId="2" applyFont="1" applyFill="1"/>
    <xf numFmtId="43" fontId="5" fillId="0" borderId="0" xfId="2" applyFont="1" applyFill="1" applyAlignment="1">
      <alignment vertical="top" wrapText="1"/>
    </xf>
    <xf numFmtId="0" fontId="5" fillId="0" borderId="4" xfId="0" applyFont="1" applyBorder="1" applyAlignment="1">
      <alignment horizontal="justify" vertical="top" wrapText="1"/>
    </xf>
    <xf numFmtId="43" fontId="25" fillId="0" borderId="4" xfId="2" applyFont="1" applyBorder="1" applyAlignment="1">
      <alignment vertical="top" wrapText="1"/>
    </xf>
    <xf numFmtId="0" fontId="25" fillId="0" borderId="4" xfId="0" applyFont="1" applyBorder="1" applyAlignment="1">
      <alignment vertical="top" wrapText="1"/>
    </xf>
    <xf numFmtId="4" fontId="25" fillId="0" borderId="4" xfId="0" applyNumberFormat="1" applyFont="1" applyBorder="1" applyAlignment="1">
      <alignment vertical="top" wrapText="1"/>
    </xf>
    <xf numFmtId="0" fontId="9" fillId="0" borderId="0" xfId="0" applyFont="1" applyFill="1" applyAlignment="1">
      <alignment wrapText="1"/>
    </xf>
    <xf numFmtId="0" fontId="9" fillId="0" borderId="34" xfId="0" applyFont="1" applyFill="1" applyBorder="1" applyAlignment="1">
      <alignment horizontal="center" wrapText="1"/>
    </xf>
    <xf numFmtId="0" fontId="9" fillId="0" borderId="0" xfId="0" applyFont="1" applyFill="1" applyBorder="1" applyAlignment="1">
      <alignment horizontal="center" wrapText="1"/>
    </xf>
    <xf numFmtId="0" fontId="5" fillId="0" borderId="5" xfId="0" applyFont="1" applyFill="1" applyBorder="1" applyAlignment="1">
      <alignment horizontal="justify" vertical="top" wrapText="1"/>
    </xf>
    <xf numFmtId="0" fontId="5" fillId="0" borderId="0" xfId="0" applyFont="1" applyFill="1" applyAlignment="1">
      <alignment horizontal="justify" vertical="top" wrapText="1"/>
    </xf>
    <xf numFmtId="0" fontId="5" fillId="0" borderId="4" xfId="0" applyFont="1" applyFill="1" applyBorder="1" applyAlignment="1">
      <alignment horizontal="justify" vertical="top" wrapText="1"/>
    </xf>
    <xf numFmtId="0" fontId="9" fillId="0" borderId="0" xfId="0" applyFont="1" applyAlignment="1">
      <alignment horizontal="justify"/>
    </xf>
    <xf numFmtId="6" fontId="5" fillId="0" borderId="0" xfId="0" applyNumberFormat="1" applyFont="1"/>
    <xf numFmtId="0" fontId="9" fillId="8" borderId="45" xfId="0" applyFont="1" applyFill="1" applyBorder="1" applyAlignment="1">
      <alignment horizontal="center" vertical="top" wrapText="1"/>
    </xf>
    <xf numFmtId="0" fontId="9" fillId="8" borderId="48" xfId="0" applyFont="1" applyFill="1" applyBorder="1" applyAlignment="1">
      <alignment horizontal="center" vertical="top" wrapText="1"/>
    </xf>
    <xf numFmtId="3" fontId="5" fillId="0" borderId="77" xfId="0" applyNumberFormat="1" applyFont="1" applyBorder="1" applyAlignment="1">
      <alignment horizontal="justify" vertical="top" wrapText="1"/>
    </xf>
    <xf numFmtId="0" fontId="5" fillId="0" borderId="77" xfId="0" applyFont="1" applyBorder="1" applyAlignment="1">
      <alignment horizontal="justify" vertical="top" wrapText="1"/>
    </xf>
    <xf numFmtId="14" fontId="5" fillId="0" borderId="77" xfId="0" applyNumberFormat="1" applyFont="1" applyBorder="1" applyAlignment="1">
      <alignment horizontal="center" vertical="top" wrapText="1"/>
    </xf>
    <xf numFmtId="4" fontId="5" fillId="0" borderId="73" xfId="0" applyNumberFormat="1" applyFont="1" applyBorder="1" applyAlignment="1">
      <alignment horizontal="right" vertical="top" wrapText="1"/>
    </xf>
    <xf numFmtId="43" fontId="5" fillId="0" borderId="73" xfId="2" applyFont="1" applyBorder="1" applyAlignment="1">
      <alignment horizontal="right" vertical="top" wrapText="1"/>
    </xf>
    <xf numFmtId="0" fontId="5" fillId="0" borderId="73" xfId="0" applyFont="1" applyBorder="1" applyAlignment="1">
      <alignment horizontal="right" vertical="top" wrapText="1"/>
    </xf>
    <xf numFmtId="0" fontId="9" fillId="8" borderId="77" xfId="0" applyFont="1" applyFill="1" applyBorder="1" applyAlignment="1">
      <alignment horizontal="justify" vertical="top" wrapText="1"/>
    </xf>
    <xf numFmtId="4" fontId="9" fillId="8" borderId="73" xfId="0" applyNumberFormat="1" applyFont="1" applyFill="1" applyBorder="1" applyAlignment="1">
      <alignment horizontal="right" vertical="top" wrapText="1"/>
    </xf>
    <xf numFmtId="0" fontId="5" fillId="0" borderId="0" xfId="0" applyFont="1" applyAlignment="1">
      <alignment horizontal="justify"/>
    </xf>
    <xf numFmtId="0" fontId="5" fillId="0" borderId="0" xfId="0" applyFont="1" applyAlignment="1">
      <alignment wrapText="1"/>
    </xf>
    <xf numFmtId="0" fontId="5" fillId="0" borderId="73" xfId="0" applyFont="1" applyBorder="1"/>
    <xf numFmtId="0" fontId="12" fillId="2" borderId="44" xfId="0" applyFont="1" applyFill="1" applyBorder="1" applyAlignment="1">
      <alignment horizontal="center" vertical="top" wrapText="1"/>
    </xf>
    <xf numFmtId="0" fontId="12" fillId="2" borderId="44"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12" fillId="0" borderId="37" xfId="0" applyFont="1" applyBorder="1" applyAlignment="1">
      <alignment horizontal="justify" vertical="top" wrapText="1"/>
    </xf>
    <xf numFmtId="0" fontId="12" fillId="0" borderId="4" xfId="0" applyFont="1" applyBorder="1" applyAlignment="1">
      <alignment horizontal="justify" vertical="top" wrapText="1"/>
    </xf>
    <xf numFmtId="0" fontId="12" fillId="0" borderId="11" xfId="0" applyFont="1" applyBorder="1" applyAlignment="1">
      <alignment horizontal="justify" vertical="top" wrapText="1"/>
    </xf>
    <xf numFmtId="0" fontId="11" fillId="0" borderId="43" xfId="0" applyFont="1" applyBorder="1"/>
    <xf numFmtId="0" fontId="11" fillId="4" borderId="43" xfId="0" applyFont="1" applyFill="1" applyBorder="1"/>
    <xf numFmtId="43" fontId="12" fillId="0" borderId="4" xfId="2" applyFont="1" applyBorder="1" applyAlignment="1">
      <alignment horizontal="justify" vertical="top" wrapText="1"/>
    </xf>
    <xf numFmtId="0" fontId="12" fillId="0" borderId="36" xfId="0" applyFont="1" applyBorder="1" applyAlignment="1">
      <alignment horizontal="justify" vertical="top" wrapText="1"/>
    </xf>
    <xf numFmtId="0" fontId="11" fillId="4" borderId="0" xfId="0" applyFont="1" applyFill="1" applyBorder="1"/>
    <xf numFmtId="0" fontId="11" fillId="0" borderId="37" xfId="0" applyFont="1" applyBorder="1" applyAlignment="1">
      <alignment horizontal="justify" vertical="top" wrapText="1"/>
    </xf>
    <xf numFmtId="0" fontId="11" fillId="0" borderId="4" xfId="0" applyFont="1" applyBorder="1" applyAlignment="1">
      <alignment horizontal="justify" vertical="top" wrapText="1"/>
    </xf>
    <xf numFmtId="43" fontId="11" fillId="0" borderId="4" xfId="2" applyFont="1" applyBorder="1" applyAlignment="1">
      <alignment horizontal="justify" vertical="top" wrapText="1"/>
    </xf>
    <xf numFmtId="0" fontId="11" fillId="0" borderId="36" xfId="0" applyFont="1" applyBorder="1" applyAlignment="1">
      <alignment horizontal="justify" vertical="top" wrapText="1"/>
    </xf>
    <xf numFmtId="0" fontId="11" fillId="0" borderId="4" xfId="0" applyFont="1" applyBorder="1"/>
    <xf numFmtId="0" fontId="11" fillId="4" borderId="36" xfId="0" applyFont="1" applyFill="1" applyBorder="1"/>
    <xf numFmtId="0" fontId="11" fillId="4" borderId="61" xfId="0" applyFont="1" applyFill="1" applyBorder="1"/>
    <xf numFmtId="0" fontId="11" fillId="4" borderId="27" xfId="0" applyFont="1" applyFill="1" applyBorder="1"/>
    <xf numFmtId="0" fontId="12" fillId="0" borderId="37" xfId="0" applyFont="1" applyBorder="1" applyAlignment="1">
      <alignment horizontal="center"/>
    </xf>
    <xf numFmtId="0" fontId="11" fillId="0" borderId="36" xfId="0" applyFont="1" applyBorder="1"/>
    <xf numFmtId="0" fontId="11" fillId="4" borderId="4" xfId="0" applyFont="1" applyFill="1" applyBorder="1"/>
    <xf numFmtId="0" fontId="9" fillId="2" borderId="39" xfId="0" applyFont="1" applyFill="1" applyBorder="1" applyAlignment="1">
      <alignment horizontal="left"/>
    </xf>
    <xf numFmtId="0" fontId="9" fillId="2" borderId="42" xfId="0" applyFont="1" applyFill="1" applyBorder="1" applyAlignment="1">
      <alignment horizontal="left"/>
    </xf>
    <xf numFmtId="0" fontId="9" fillId="2" borderId="43" xfId="0" applyFont="1" applyFill="1" applyBorder="1" applyAlignment="1">
      <alignment horizontal="left"/>
    </xf>
    <xf numFmtId="0" fontId="9" fillId="2" borderId="5" xfId="0" applyFont="1" applyFill="1" applyBorder="1" applyAlignment="1">
      <alignment horizontal="left"/>
    </xf>
    <xf numFmtId="0" fontId="5" fillId="0" borderId="0" xfId="0" applyFont="1" applyAlignment="1">
      <alignment horizontal="center"/>
    </xf>
    <xf numFmtId="3" fontId="9" fillId="0" borderId="0" xfId="0" applyNumberFormat="1" applyFont="1" applyAlignment="1">
      <alignment horizontal="center"/>
    </xf>
    <xf numFmtId="0" fontId="9" fillId="0" borderId="0" xfId="0" applyFont="1" applyAlignment="1">
      <alignment horizontal="center"/>
    </xf>
    <xf numFmtId="3" fontId="23" fillId="0" borderId="0" xfId="0" applyNumberFormat="1" applyFont="1" applyAlignment="1">
      <alignment horizontal="center"/>
    </xf>
    <xf numFmtId="0" fontId="5" fillId="0" borderId="0" xfId="0" applyFont="1" applyFill="1" applyBorder="1" applyAlignment="1">
      <alignment horizontal="left" wrapText="1"/>
    </xf>
    <xf numFmtId="49" fontId="9" fillId="2" borderId="41" xfId="0" applyNumberFormat="1" applyFont="1" applyFill="1" applyBorder="1" applyAlignment="1">
      <alignment horizontal="left"/>
    </xf>
    <xf numFmtId="49" fontId="9" fillId="2" borderId="34" xfId="0" applyNumberFormat="1" applyFont="1" applyFill="1" applyBorder="1" applyAlignment="1">
      <alignment horizontal="left"/>
    </xf>
    <xf numFmtId="0" fontId="20" fillId="2" borderId="41" xfId="0" applyFont="1" applyFill="1" applyBorder="1" applyAlignment="1">
      <alignment horizontal="left"/>
    </xf>
    <xf numFmtId="0" fontId="20" fillId="2" borderId="34" xfId="0" applyFont="1" applyFill="1" applyBorder="1" applyAlignment="1">
      <alignment horizontal="left"/>
    </xf>
    <xf numFmtId="0" fontId="10" fillId="0" borderId="0" xfId="0" applyFont="1" applyAlignment="1">
      <alignment horizontal="center"/>
    </xf>
    <xf numFmtId="3" fontId="10" fillId="0" borderId="0" xfId="0" applyNumberFormat="1" applyFont="1" applyAlignment="1">
      <alignment horizontal="center"/>
    </xf>
    <xf numFmtId="0" fontId="7" fillId="0" borderId="0" xfId="0" applyFont="1" applyAlignment="1">
      <alignment horizontal="center"/>
    </xf>
    <xf numFmtId="0" fontId="7" fillId="0" borderId="78" xfId="0" applyFont="1" applyBorder="1" applyAlignment="1">
      <alignment horizontal="center"/>
    </xf>
    <xf numFmtId="0" fontId="0" fillId="0" borderId="0" xfId="0" applyAlignment="1">
      <alignment horizontal="center"/>
    </xf>
    <xf numFmtId="0" fontId="0" fillId="0" borderId="78" xfId="0" applyBorder="1" applyAlignment="1">
      <alignment horizontal="center"/>
    </xf>
    <xf numFmtId="0" fontId="12" fillId="0" borderId="0" xfId="0" applyFont="1" applyAlignment="1">
      <alignment horizontal="center"/>
    </xf>
    <xf numFmtId="3" fontId="12" fillId="0" borderId="0" xfId="0" applyNumberFormat="1" applyFont="1" applyAlignment="1">
      <alignment horizontal="center"/>
    </xf>
    <xf numFmtId="0" fontId="9" fillId="0" borderId="1" xfId="0" applyFont="1" applyFill="1" applyBorder="1" applyAlignment="1">
      <alignment horizontal="center"/>
    </xf>
    <xf numFmtId="0" fontId="9" fillId="0" borderId="2" xfId="0" applyFont="1" applyFill="1" applyBorder="1" applyAlignment="1">
      <alignment horizontal="center"/>
    </xf>
    <xf numFmtId="0" fontId="9" fillId="0" borderId="3" xfId="0" applyFont="1" applyFill="1" applyBorder="1" applyAlignment="1">
      <alignment horizontal="center"/>
    </xf>
    <xf numFmtId="3" fontId="9" fillId="0" borderId="79" xfId="0" applyNumberFormat="1" applyFont="1" applyFill="1" applyBorder="1" applyAlignment="1">
      <alignment horizontal="center"/>
    </xf>
    <xf numFmtId="0" fontId="9" fillId="0" borderId="80" xfId="0" applyFont="1" applyFill="1" applyBorder="1" applyAlignment="1">
      <alignment horizontal="center"/>
    </xf>
    <xf numFmtId="0" fontId="9" fillId="0" borderId="81" xfId="0" applyFont="1" applyFill="1" applyBorder="1" applyAlignment="1">
      <alignment horizontal="center"/>
    </xf>
    <xf numFmtId="0" fontId="3" fillId="0" borderId="0" xfId="0" applyFont="1" applyFill="1" applyBorder="1" applyAlignment="1">
      <alignment horizontal="center"/>
    </xf>
    <xf numFmtId="0" fontId="26" fillId="0" borderId="47" xfId="0" applyFont="1" applyFill="1" applyBorder="1" applyAlignment="1">
      <alignment horizontal="left" wrapText="1"/>
    </xf>
    <xf numFmtId="0" fontId="26" fillId="0" borderId="48" xfId="0" applyFont="1" applyFill="1" applyBorder="1" applyAlignment="1">
      <alignment horizontal="left" wrapText="1"/>
    </xf>
    <xf numFmtId="0" fontId="26" fillId="0" borderId="45" xfId="0" applyFont="1" applyFill="1" applyBorder="1" applyAlignment="1">
      <alignment horizontal="left" wrapText="1"/>
    </xf>
    <xf numFmtId="0" fontId="12" fillId="0" borderId="61" xfId="0" applyFont="1" applyFill="1" applyBorder="1" applyAlignment="1">
      <alignment horizontal="left"/>
    </xf>
    <xf numFmtId="0" fontId="5" fillId="0" borderId="62" xfId="0" applyFont="1" applyFill="1" applyBorder="1" applyAlignment="1">
      <alignment wrapText="1"/>
    </xf>
    <xf numFmtId="8" fontId="12" fillId="0" borderId="62" xfId="0" applyNumberFormat="1" applyFont="1" applyFill="1" applyBorder="1" applyAlignment="1">
      <alignment horizontal="right" wrapText="1"/>
    </xf>
    <xf numFmtId="0" fontId="12" fillId="0" borderId="62" xfId="0" applyFont="1" applyFill="1" applyBorder="1" applyAlignment="1">
      <alignment horizontal="right" wrapText="1"/>
    </xf>
    <xf numFmtId="0" fontId="9" fillId="0" borderId="42"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5" xfId="0" applyFont="1" applyFill="1" applyBorder="1" applyAlignment="1">
      <alignment horizontal="center" vertical="center" wrapText="1"/>
    </xf>
    <xf numFmtId="3" fontId="9" fillId="0" borderId="36" xfId="0" applyNumberFormat="1"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29" fillId="0" borderId="0" xfId="0" applyFont="1" applyAlignment="1">
      <alignment horizontal="center"/>
    </xf>
    <xf numFmtId="0" fontId="12" fillId="0" borderId="74" xfId="0" applyFont="1" applyFill="1" applyBorder="1" applyAlignment="1">
      <alignment horizontal="center" vertical="center"/>
    </xf>
    <xf numFmtId="0" fontId="12" fillId="0" borderId="0" xfId="0" applyFont="1" applyFill="1" applyAlignment="1">
      <alignment horizontal="center" vertical="center"/>
    </xf>
    <xf numFmtId="3" fontId="12" fillId="0" borderId="0" xfId="0" applyNumberFormat="1" applyFont="1" applyFill="1" applyBorder="1" applyAlignment="1">
      <alignment horizontal="center"/>
    </xf>
    <xf numFmtId="0" fontId="12" fillId="0" borderId="0" xfId="0" applyFont="1" applyFill="1" applyBorder="1" applyAlignment="1">
      <alignment horizontal="center"/>
    </xf>
    <xf numFmtId="0" fontId="12" fillId="0" borderId="80" xfId="0" applyFont="1" applyFill="1" applyBorder="1" applyAlignment="1">
      <alignment horizontal="center"/>
    </xf>
    <xf numFmtId="0" fontId="11" fillId="0" borderId="0" xfId="0" applyNumberFormat="1" applyFont="1" applyAlignment="1">
      <alignment horizontal="left" vertical="center" wrapText="1"/>
    </xf>
    <xf numFmtId="0" fontId="11" fillId="0" borderId="0" xfId="0" applyNumberFormat="1" applyFont="1" applyAlignment="1">
      <alignment horizontal="left" wrapText="1"/>
    </xf>
    <xf numFmtId="0" fontId="12" fillId="0" borderId="1" xfId="0" applyFont="1" applyFill="1" applyBorder="1" applyAlignment="1">
      <alignment horizontal="center"/>
    </xf>
    <xf numFmtId="0" fontId="12" fillId="0" borderId="2" xfId="0" applyFont="1" applyFill="1" applyBorder="1" applyAlignment="1">
      <alignment horizontal="center"/>
    </xf>
    <xf numFmtId="0" fontId="9" fillId="0" borderId="0" xfId="0" applyFont="1" applyAlignment="1" applyProtection="1">
      <alignment horizontal="center"/>
      <protection locked="0"/>
    </xf>
    <xf numFmtId="0" fontId="5" fillId="0" borderId="0" xfId="0" applyNumberFormat="1" applyFont="1" applyFill="1" applyBorder="1" applyAlignment="1">
      <alignment horizontal="left" vertical="top" wrapText="1"/>
    </xf>
    <xf numFmtId="0" fontId="12" fillId="0" borderId="82" xfId="0" applyFont="1" applyFill="1" applyBorder="1" applyAlignment="1">
      <alignment horizontal="center"/>
    </xf>
    <xf numFmtId="0" fontId="12" fillId="0" borderId="0" xfId="0" applyFont="1" applyFill="1" applyAlignment="1">
      <alignment horizontal="center"/>
    </xf>
    <xf numFmtId="0" fontId="11" fillId="0" borderId="61" xfId="0" applyFont="1" applyFill="1" applyBorder="1" applyAlignment="1">
      <alignment horizontal="left"/>
    </xf>
    <xf numFmtId="0" fontId="11" fillId="0" borderId="42"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5" fillId="0" borderId="0" xfId="0" applyFont="1" applyFill="1" applyBorder="1" applyAlignment="1">
      <alignment horizontal="left" vertical="top" wrapText="1"/>
    </xf>
    <xf numFmtId="0" fontId="5" fillId="0" borderId="36" xfId="0" applyNumberFormat="1" applyFont="1" applyFill="1" applyBorder="1" applyAlignment="1">
      <alignment horizontal="center"/>
    </xf>
    <xf numFmtId="0" fontId="5" fillId="0" borderId="27" xfId="0" applyNumberFormat="1" applyFont="1" applyFill="1" applyBorder="1" applyAlignment="1">
      <alignment horizontal="center"/>
    </xf>
    <xf numFmtId="0" fontId="5" fillId="0" borderId="39" xfId="0" applyNumberFormat="1" applyFont="1" applyFill="1" applyBorder="1" applyAlignment="1">
      <alignment horizontal="center"/>
    </xf>
    <xf numFmtId="0" fontId="5" fillId="0" borderId="6" xfId="0" applyFont="1" applyFill="1" applyBorder="1" applyAlignment="1">
      <alignment horizontal="left" vertical="top" wrapText="1"/>
    </xf>
    <xf numFmtId="0" fontId="5" fillId="0" borderId="6" xfId="0" applyFont="1" applyFill="1" applyBorder="1" applyAlignment="1"/>
    <xf numFmtId="0" fontId="9" fillId="0" borderId="0" xfId="0" applyNumberFormat="1" applyFont="1" applyFill="1" applyAlignment="1">
      <alignment horizontal="center"/>
    </xf>
    <xf numFmtId="0" fontId="9" fillId="0" borderId="82" xfId="0" applyFont="1" applyFill="1" applyBorder="1" applyAlignment="1">
      <alignment horizontal="center"/>
    </xf>
    <xf numFmtId="0" fontId="9" fillId="0" borderId="0" xfId="0" applyFont="1" applyFill="1" applyBorder="1" applyAlignment="1">
      <alignment horizontal="center"/>
    </xf>
    <xf numFmtId="3" fontId="9" fillId="0" borderId="0" xfId="0" applyNumberFormat="1" applyFont="1" applyFill="1" applyBorder="1" applyAlignment="1">
      <alignment horizontal="center"/>
    </xf>
    <xf numFmtId="0" fontId="5" fillId="0" borderId="75" xfId="0" applyFont="1" applyFill="1" applyBorder="1" applyAlignment="1">
      <alignment wrapText="1"/>
    </xf>
    <xf numFmtId="0" fontId="5" fillId="0" borderId="76" xfId="0" applyFont="1" applyFill="1" applyBorder="1" applyAlignment="1">
      <alignment wrapText="1"/>
    </xf>
    <xf numFmtId="0" fontId="5" fillId="0" borderId="42" xfId="0" applyFont="1" applyFill="1" applyBorder="1" applyAlignment="1">
      <alignment horizontal="center" vertical="center"/>
    </xf>
    <xf numFmtId="0" fontId="5" fillId="0" borderId="5" xfId="0" applyFont="1" applyBorder="1" applyAlignment="1"/>
    <xf numFmtId="3" fontId="5" fillId="0" borderId="38" xfId="0" applyNumberFormat="1" applyFont="1" applyFill="1" applyBorder="1" applyAlignment="1">
      <alignment horizontal="center" vertical="center"/>
    </xf>
    <xf numFmtId="0" fontId="5" fillId="0" borderId="11" xfId="0" applyFont="1" applyBorder="1" applyAlignment="1"/>
    <xf numFmtId="0" fontId="5" fillId="0" borderId="39" xfId="0" applyFont="1" applyFill="1" applyBorder="1" applyAlignment="1">
      <alignment horizontal="center" vertical="center"/>
    </xf>
    <xf numFmtId="0" fontId="5" fillId="0" borderId="43" xfId="0" applyFont="1" applyBorder="1" applyAlignment="1"/>
    <xf numFmtId="0" fontId="8" fillId="0" borderId="0" xfId="2" applyNumberFormat="1" applyFont="1" applyAlignment="1">
      <alignment horizontal="left" wrapText="1"/>
    </xf>
    <xf numFmtId="0" fontId="5" fillId="0" borderId="0" xfId="0" applyFont="1" applyFill="1" applyBorder="1" applyAlignment="1">
      <alignment horizontal="left"/>
    </xf>
    <xf numFmtId="0" fontId="5" fillId="0" borderId="38" xfId="0" applyFont="1" applyFill="1" applyBorder="1" applyAlignment="1">
      <alignment horizontal="center" vertical="center"/>
    </xf>
    <xf numFmtId="3" fontId="9" fillId="0" borderId="82" xfId="0" applyNumberFormat="1" applyFont="1" applyFill="1" applyBorder="1" applyAlignment="1">
      <alignment horizontal="center"/>
    </xf>
    <xf numFmtId="0" fontId="5" fillId="0" borderId="27" xfId="0" applyFont="1" applyFill="1" applyBorder="1" applyAlignment="1">
      <alignment vertical="top" wrapText="1"/>
    </xf>
    <xf numFmtId="0" fontId="8" fillId="0" borderId="0" xfId="0" applyFont="1" applyAlignment="1">
      <alignment horizontal="left" wrapText="1"/>
    </xf>
    <xf numFmtId="0" fontId="9" fillId="0" borderId="38" xfId="0" applyFont="1" applyFill="1" applyBorder="1" applyAlignment="1">
      <alignment horizontal="center" vertical="center" wrapText="1"/>
    </xf>
    <xf numFmtId="0" fontId="9" fillId="0" borderId="11" xfId="0" applyFont="1" applyBorder="1" applyAlignment="1"/>
    <xf numFmtId="0" fontId="9" fillId="0" borderId="42" xfId="0" applyFont="1" applyFill="1" applyBorder="1" applyAlignment="1">
      <alignment horizontal="center" vertical="center"/>
    </xf>
    <xf numFmtId="0" fontId="9" fillId="0" borderId="5" xfId="0" applyFont="1" applyBorder="1" applyAlignment="1"/>
    <xf numFmtId="0" fontId="17" fillId="0" borderId="43" xfId="0" applyFont="1" applyFill="1" applyBorder="1" applyAlignment="1">
      <alignment horizontal="center" vertical="top" wrapText="1"/>
    </xf>
    <xf numFmtId="0" fontId="17" fillId="0" borderId="6" xfId="0" applyFont="1" applyFill="1" applyBorder="1" applyAlignment="1">
      <alignment horizontal="center" vertical="top" wrapText="1"/>
    </xf>
    <xf numFmtId="0" fontId="7" fillId="0" borderId="0" xfId="0" applyFont="1" applyFill="1" applyBorder="1" applyAlignment="1">
      <alignment horizontal="center"/>
    </xf>
    <xf numFmtId="0" fontId="7" fillId="0" borderId="0" xfId="0" applyFont="1" applyFill="1" applyAlignment="1">
      <alignment horizontal="center"/>
    </xf>
    <xf numFmtId="0" fontId="8" fillId="0" borderId="0" xfId="0" applyFont="1" applyFill="1" applyBorder="1" applyAlignment="1">
      <alignment horizontal="left"/>
    </xf>
    <xf numFmtId="0" fontId="7" fillId="0" borderId="0" xfId="0" applyFont="1" applyFill="1" applyBorder="1" applyAlignment="1">
      <alignment horizontal="center" vertical="center"/>
    </xf>
    <xf numFmtId="0" fontId="7" fillId="0" borderId="0" xfId="0" applyFont="1" applyBorder="1" applyAlignment="1"/>
    <xf numFmtId="0" fontId="7" fillId="0" borderId="34" xfId="0" applyFont="1" applyBorder="1" applyAlignment="1"/>
    <xf numFmtId="0" fontId="7" fillId="0" borderId="6" xfId="0" applyFont="1" applyBorder="1" applyAlignment="1"/>
    <xf numFmtId="0" fontId="7" fillId="0" borderId="5" xfId="0" applyFont="1" applyBorder="1" applyAlignment="1"/>
    <xf numFmtId="0" fontId="7" fillId="0" borderId="38" xfId="0" applyFont="1" applyFill="1" applyBorder="1" applyAlignment="1">
      <alignment horizontal="center" vertical="center"/>
    </xf>
    <xf numFmtId="0" fontId="7" fillId="0" borderId="11" xfId="0" applyFont="1" applyBorder="1" applyAlignment="1"/>
    <xf numFmtId="0" fontId="7" fillId="0" borderId="61" xfId="0" applyFont="1" applyFill="1" applyBorder="1" applyAlignment="1">
      <alignment horizontal="center" vertical="center"/>
    </xf>
    <xf numFmtId="0" fontId="3" fillId="0" borderId="41" xfId="0" applyFont="1" applyFill="1" applyBorder="1" applyAlignment="1">
      <alignment horizontal="center"/>
    </xf>
    <xf numFmtId="0" fontId="5" fillId="0" borderId="34" xfId="0" applyFont="1" applyFill="1" applyBorder="1" applyAlignment="1">
      <alignment horizontal="center"/>
    </xf>
    <xf numFmtId="0" fontId="3" fillId="0" borderId="37" xfId="0" applyFont="1" applyFill="1" applyBorder="1" applyAlignment="1">
      <alignment horizontal="left" vertical="top" wrapText="1"/>
    </xf>
    <xf numFmtId="0" fontId="3" fillId="0" borderId="4" xfId="0" applyFont="1" applyFill="1" applyBorder="1" applyAlignment="1">
      <alignment horizontal="left" vertical="top" wrapText="1"/>
    </xf>
    <xf numFmtId="0" fontId="8" fillId="0" borderId="0" xfId="0" applyFont="1" applyFill="1" applyBorder="1" applyAlignment="1">
      <alignment horizontal="center"/>
    </xf>
    <xf numFmtId="0" fontId="3" fillId="2" borderId="37"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0" borderId="39" xfId="0" applyFont="1" applyFill="1" applyBorder="1" applyAlignment="1">
      <alignment horizontal="center"/>
    </xf>
    <xf numFmtId="0" fontId="5" fillId="0" borderId="42" xfId="0" applyFont="1" applyFill="1" applyBorder="1" applyAlignment="1">
      <alignment horizontal="center"/>
    </xf>
    <xf numFmtId="0" fontId="3" fillId="0" borderId="6" xfId="0" applyFont="1" applyFill="1" applyBorder="1" applyAlignment="1">
      <alignment horizontal="left" vertical="top"/>
    </xf>
    <xf numFmtId="0" fontId="3" fillId="0" borderId="5" xfId="0" applyFont="1" applyFill="1" applyBorder="1" applyAlignment="1">
      <alignment horizontal="left" vertical="top"/>
    </xf>
    <xf numFmtId="0" fontId="3" fillId="0" borderId="41" xfId="0" applyFont="1" applyFill="1" applyBorder="1" applyAlignment="1">
      <alignment horizontal="center" vertical="center"/>
    </xf>
    <xf numFmtId="0" fontId="5" fillId="0" borderId="34" xfId="0" applyFont="1" applyBorder="1" applyAlignment="1">
      <alignment horizontal="center" vertical="center"/>
    </xf>
    <xf numFmtId="0" fontId="3" fillId="0" borderId="37" xfId="0" applyFont="1" applyFill="1" applyBorder="1" applyAlignment="1">
      <alignment horizontal="left" vertical="top"/>
    </xf>
    <xf numFmtId="0" fontId="3" fillId="0" borderId="4" xfId="0" applyFont="1" applyFill="1" applyBorder="1" applyAlignment="1">
      <alignment horizontal="left" vertical="top"/>
    </xf>
    <xf numFmtId="0" fontId="2" fillId="2" borderId="37" xfId="0" applyFont="1" applyFill="1" applyBorder="1" applyAlignment="1">
      <alignment horizontal="left" vertical="top" wrapText="1"/>
    </xf>
    <xf numFmtId="0" fontId="2" fillId="2" borderId="4" xfId="0" applyFont="1" applyFill="1" applyBorder="1" applyAlignment="1">
      <alignment horizontal="left" vertical="top" wrapText="1"/>
    </xf>
    <xf numFmtId="0" fontId="3" fillId="0" borderId="0" xfId="0" applyFont="1" applyFill="1" applyBorder="1" applyAlignment="1">
      <alignment horizontal="left" vertical="top"/>
    </xf>
    <xf numFmtId="0" fontId="3" fillId="0" borderId="34" xfId="0" applyFont="1" applyFill="1" applyBorder="1" applyAlignment="1">
      <alignment horizontal="left" vertical="top"/>
    </xf>
    <xf numFmtId="0" fontId="3" fillId="0" borderId="39" xfId="0" applyFont="1" applyFill="1" applyBorder="1" applyAlignment="1">
      <alignment horizontal="center" vertical="top" wrapText="1"/>
    </xf>
    <xf numFmtId="0" fontId="3" fillId="0" borderId="61" xfId="0" applyFont="1" applyFill="1" applyBorder="1" applyAlignment="1">
      <alignment horizontal="center" vertical="top" wrapText="1"/>
    </xf>
    <xf numFmtId="3" fontId="7" fillId="0" borderId="0" xfId="0" applyNumberFormat="1" applyFont="1" applyFill="1" applyBorder="1" applyAlignment="1">
      <alignment horizontal="center"/>
    </xf>
    <xf numFmtId="0" fontId="14" fillId="2" borderId="37"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3" fillId="0" borderId="0" xfId="0" applyFont="1" applyFill="1" applyBorder="1" applyAlignment="1">
      <alignment horizontal="left"/>
    </xf>
    <xf numFmtId="0" fontId="3" fillId="0" borderId="61" xfId="0" applyFont="1" applyFill="1" applyBorder="1" applyAlignment="1">
      <alignment horizontal="left" vertical="top"/>
    </xf>
    <xf numFmtId="0" fontId="3" fillId="0" borderId="42" xfId="0" applyFont="1" applyFill="1" applyBorder="1" applyAlignment="1">
      <alignment horizontal="left" vertical="top"/>
    </xf>
    <xf numFmtId="3" fontId="13" fillId="0" borderId="0" xfId="0" applyNumberFormat="1" applyFont="1" applyFill="1" applyBorder="1" applyAlignment="1">
      <alignment horizontal="center"/>
    </xf>
    <xf numFmtId="0" fontId="13" fillId="0" borderId="0" xfId="0" applyFont="1" applyFill="1" applyBorder="1" applyAlignment="1">
      <alignment horizontal="center"/>
    </xf>
    <xf numFmtId="0" fontId="5" fillId="0" borderId="4" xfId="0" applyFont="1" applyFill="1" applyBorder="1" applyAlignment="1">
      <alignment horizontal="left" vertical="top"/>
    </xf>
    <xf numFmtId="0" fontId="5" fillId="0" borderId="70" xfId="0" applyFont="1" applyFill="1" applyBorder="1" applyAlignment="1">
      <alignment horizontal="left" vertical="top" wrapText="1"/>
    </xf>
    <xf numFmtId="0" fontId="5" fillId="0" borderId="76" xfId="0" applyFont="1" applyFill="1" applyBorder="1" applyAlignment="1">
      <alignment horizontal="left" vertical="top" wrapText="1"/>
    </xf>
    <xf numFmtId="0" fontId="3" fillId="0" borderId="4" xfId="0" applyFont="1" applyFill="1" applyBorder="1" applyAlignment="1">
      <alignment horizontal="center" vertical="top" wrapText="1"/>
    </xf>
    <xf numFmtId="0" fontId="2" fillId="0" borderId="39" xfId="0" applyFont="1" applyFill="1" applyBorder="1" applyAlignment="1">
      <alignment horizontal="center" vertical="center"/>
    </xf>
    <xf numFmtId="0" fontId="9" fillId="0" borderId="43" xfId="0" applyFont="1" applyFill="1" applyBorder="1" applyAlignment="1"/>
    <xf numFmtId="0" fontId="3" fillId="0" borderId="27" xfId="0" applyFont="1" applyFill="1" applyBorder="1" applyAlignment="1">
      <alignment horizontal="left" vertical="top" wrapText="1"/>
    </xf>
    <xf numFmtId="0" fontId="3" fillId="0" borderId="27" xfId="0" applyFont="1" applyFill="1" applyBorder="1" applyAlignment="1">
      <alignment horizontal="left" vertical="top"/>
    </xf>
    <xf numFmtId="0" fontId="14" fillId="0" borderId="61" xfId="0" applyFont="1" applyFill="1" applyBorder="1" applyAlignment="1">
      <alignment horizontal="center" vertical="top" wrapText="1"/>
    </xf>
    <xf numFmtId="0" fontId="15" fillId="0" borderId="61" xfId="0" applyFont="1" applyBorder="1" applyAlignment="1">
      <alignment horizontal="center" vertical="top"/>
    </xf>
    <xf numFmtId="0" fontId="15" fillId="0" borderId="42" xfId="0" applyFont="1" applyBorder="1" applyAlignment="1">
      <alignment horizontal="center" vertical="top"/>
    </xf>
    <xf numFmtId="0" fontId="15" fillId="0" borderId="6" xfId="0" applyFont="1" applyBorder="1" applyAlignment="1">
      <alignment horizontal="center" vertical="top"/>
    </xf>
    <xf numFmtId="0" fontId="15" fillId="0" borderId="5" xfId="0" applyFont="1" applyBorder="1" applyAlignment="1">
      <alignment horizontal="center" vertical="top"/>
    </xf>
    <xf numFmtId="0" fontId="2" fillId="0" borderId="38" xfId="0" applyFont="1" applyFill="1" applyBorder="1" applyAlignment="1">
      <alignment horizontal="center" vertical="center"/>
    </xf>
    <xf numFmtId="0" fontId="9" fillId="0" borderId="11" xfId="0" applyFont="1" applyFill="1" applyBorder="1" applyAlignment="1"/>
    <xf numFmtId="0" fontId="11" fillId="0" borderId="0" xfId="0" applyFont="1" applyFill="1" applyBorder="1" applyAlignment="1">
      <alignment horizontal="center"/>
    </xf>
    <xf numFmtId="3" fontId="11" fillId="0" borderId="0" xfId="0" applyNumberFormat="1" applyFont="1" applyFill="1" applyBorder="1" applyAlignment="1">
      <alignment horizontal="center"/>
    </xf>
    <xf numFmtId="0" fontId="11" fillId="0" borderId="39"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27" xfId="0" applyFont="1" applyFill="1" applyBorder="1" applyAlignment="1">
      <alignment wrapText="1"/>
    </xf>
    <xf numFmtId="0" fontId="11" fillId="0" borderId="37" xfId="0" applyFont="1" applyFill="1" applyBorder="1" applyAlignment="1">
      <alignment wrapText="1"/>
    </xf>
    <xf numFmtId="0" fontId="11" fillId="0" borderId="61"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5" fillId="0" borderId="27" xfId="0" applyFont="1" applyFill="1" applyBorder="1" applyAlignment="1">
      <alignment horizontal="left"/>
    </xf>
    <xf numFmtId="0" fontId="9" fillId="0" borderId="61" xfId="0" applyFont="1" applyFill="1" applyBorder="1" applyAlignment="1">
      <alignment horizontal="center" vertical="center"/>
    </xf>
    <xf numFmtId="0" fontId="9" fillId="0" borderId="6" xfId="0" applyFont="1" applyBorder="1" applyAlignment="1"/>
    <xf numFmtId="8" fontId="5" fillId="0" borderId="6" xfId="0" applyNumberFormat="1" applyFont="1" applyFill="1" applyBorder="1" applyAlignment="1">
      <alignment horizontal="right" wrapText="1"/>
    </xf>
    <xf numFmtId="0" fontId="5" fillId="0" borderId="6" xfId="0" applyFont="1" applyFill="1" applyBorder="1" applyAlignment="1">
      <alignment horizontal="right" wrapText="1"/>
    </xf>
    <xf numFmtId="0" fontId="9" fillId="0" borderId="27" xfId="0" applyFont="1" applyFill="1" applyBorder="1" applyAlignment="1">
      <alignment horizontal="center" wrapText="1"/>
    </xf>
    <xf numFmtId="0" fontId="9" fillId="0" borderId="37" xfId="0" applyFont="1" applyFill="1" applyBorder="1" applyAlignment="1">
      <alignment horizontal="center" wrapText="1"/>
    </xf>
    <xf numFmtId="0" fontId="9" fillId="0" borderId="36" xfId="0" applyFont="1" applyFill="1" applyBorder="1" applyAlignment="1">
      <alignment horizontal="center" wrapText="1"/>
    </xf>
    <xf numFmtId="0" fontId="5" fillId="0" borderId="61" xfId="0" applyFont="1" applyFill="1" applyBorder="1" applyAlignment="1">
      <alignment horizontal="left" vertical="top" wrapText="1"/>
    </xf>
    <xf numFmtId="0" fontId="5" fillId="0" borderId="0" xfId="0" applyFont="1" applyFill="1" applyAlignment="1">
      <alignment horizontal="justify" wrapText="1"/>
    </xf>
    <xf numFmtId="0" fontId="5" fillId="0" borderId="0" xfId="0" applyFont="1" applyFill="1" applyAlignment="1">
      <alignment horizontal="center" wrapText="1"/>
    </xf>
    <xf numFmtId="0" fontId="9" fillId="0" borderId="0" xfId="0" applyFont="1" applyFill="1" applyAlignment="1">
      <alignment horizontal="center" wrapText="1"/>
    </xf>
    <xf numFmtId="3" fontId="9" fillId="0" borderId="0" xfId="0" applyNumberFormat="1" applyFont="1" applyFill="1" applyAlignment="1">
      <alignment horizontal="center" wrapText="1"/>
    </xf>
    <xf numFmtId="0" fontId="5" fillId="0" borderId="6" xfId="0" applyFont="1" applyFill="1" applyBorder="1" applyAlignment="1">
      <alignment horizontal="justify" wrapText="1"/>
    </xf>
    <xf numFmtId="0" fontId="9" fillId="0" borderId="0" xfId="0" applyFont="1" applyAlignment="1">
      <alignment horizontal="left"/>
    </xf>
    <xf numFmtId="0" fontId="5" fillId="0" borderId="0" xfId="0" applyFont="1" applyAlignment="1">
      <alignment horizontal="left" wrapText="1"/>
    </xf>
    <xf numFmtId="0" fontId="12" fillId="0" borderId="0" xfId="0" applyFont="1" applyAlignment="1">
      <alignment horizontal="left" wrapText="1"/>
    </xf>
    <xf numFmtId="0" fontId="11" fillId="2" borderId="36" xfId="0" applyFont="1" applyFill="1" applyBorder="1" applyAlignment="1">
      <alignment horizontal="center"/>
    </xf>
    <xf numFmtId="0" fontId="11" fillId="2" borderId="37" xfId="0" applyFont="1" applyFill="1" applyBorder="1" applyAlignment="1">
      <alignment horizontal="center"/>
    </xf>
    <xf numFmtId="0" fontId="12" fillId="2" borderId="47" xfId="0" applyFont="1" applyFill="1" applyBorder="1" applyAlignment="1">
      <alignment horizontal="center" vertical="top" wrapText="1"/>
    </xf>
    <xf numFmtId="0" fontId="12" fillId="2" borderId="48" xfId="0" applyFont="1" applyFill="1" applyBorder="1" applyAlignment="1">
      <alignment horizontal="center" vertical="top" wrapText="1"/>
    </xf>
    <xf numFmtId="0" fontId="12" fillId="2" borderId="32" xfId="0" applyFont="1" applyFill="1" applyBorder="1" applyAlignment="1">
      <alignment horizontal="center" vertical="top" wrapText="1"/>
    </xf>
    <xf numFmtId="0" fontId="12" fillId="2" borderId="83" xfId="0" applyFont="1" applyFill="1" applyBorder="1" applyAlignment="1">
      <alignment horizontal="center" vertical="top" wrapText="1"/>
    </xf>
    <xf numFmtId="0" fontId="12" fillId="2" borderId="84" xfId="0" applyFont="1" applyFill="1" applyBorder="1" applyAlignment="1">
      <alignment horizontal="center" vertical="top" wrapText="1"/>
    </xf>
    <xf numFmtId="0" fontId="12" fillId="2" borderId="53" xfId="0" applyFont="1" applyFill="1" applyBorder="1" applyAlignment="1">
      <alignment horizontal="center" vertical="top" wrapText="1"/>
    </xf>
  </cellXfs>
  <cellStyles count="3">
    <cellStyle name="Normal" xfId="0" builtinId="0"/>
    <cellStyle name="Porcentagem" xfId="1" builtinId="5"/>
    <cellStyle name="Separador de milhares" xfId="2"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0</xdr:colOff>
      <xdr:row>57</xdr:row>
      <xdr:rowOff>28575</xdr:rowOff>
    </xdr:from>
    <xdr:to>
      <xdr:col>9</xdr:col>
      <xdr:colOff>571500</xdr:colOff>
      <xdr:row>60</xdr:row>
      <xdr:rowOff>95250</xdr:rowOff>
    </xdr:to>
    <xdr:sp macro="" textlink="">
      <xdr:nvSpPr>
        <xdr:cNvPr id="3073" name="Text Box 1"/>
        <xdr:cNvSpPr txBox="1">
          <a:spLocks noChangeArrowheads="1"/>
        </xdr:cNvSpPr>
      </xdr:nvSpPr>
      <xdr:spPr bwMode="auto">
        <a:xfrm>
          <a:off x="0" y="8782050"/>
          <a:ext cx="8991600" cy="4953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pt-BR" sz="900" b="0" i="0" strike="noStrike">
              <a:solidFill>
                <a:srgbClr val="FF0000"/>
              </a:solidFill>
              <a:latin typeface="Arial"/>
              <a:cs typeface="Arial"/>
            </a:rPr>
            <a:t>Este demonstrativo será acompanhado de análise dos principais dados apresentados, assim como de eventuais variações abruptas e outras que mereçam destaque. Também serão apresentadas as medidas que a Administração Pública pretende tomar visando a atingir as metas estabelecidas.</a:t>
          </a:r>
        </a:p>
        <a:p>
          <a:pPr algn="l" rtl="1">
            <a:defRPr sz="1000"/>
          </a:pPr>
          <a:r>
            <a:rPr lang="pt-BR" sz="900" b="0" i="0" strike="noStrike">
              <a:solidFill>
                <a:srgbClr val="FF0000"/>
              </a:solidFill>
              <a:latin typeface="Arial"/>
              <a:cs typeface="Arial"/>
            </a:rPr>
            <a:t>Utilizar o PIB do Estado projetado na LDO.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561975</xdr:colOff>
      <xdr:row>60</xdr:row>
      <xdr:rowOff>47625</xdr:rowOff>
    </xdr:from>
    <xdr:to>
      <xdr:col>12</xdr:col>
      <xdr:colOff>514350</xdr:colOff>
      <xdr:row>64</xdr:row>
      <xdr:rowOff>19050</xdr:rowOff>
    </xdr:to>
    <xdr:sp macro="" textlink="">
      <xdr:nvSpPr>
        <xdr:cNvPr id="5121" name="Text Box 1"/>
        <xdr:cNvSpPr txBox="1">
          <a:spLocks noChangeArrowheads="1"/>
        </xdr:cNvSpPr>
      </xdr:nvSpPr>
      <xdr:spPr bwMode="auto">
        <a:xfrm>
          <a:off x="561975" y="8829675"/>
          <a:ext cx="10506075" cy="5429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pt-BR" sz="1000" b="0" i="0" strike="noStrike">
              <a:solidFill>
                <a:srgbClr val="000000"/>
              </a:solidFill>
              <a:latin typeface="Arial"/>
              <a:cs typeface="Arial"/>
            </a:rPr>
            <a:t>O demonstrativo deve ser acompanhado de análise a respito de alguns itens que representam parâmetros básicos para se chegar aos valores apresentados como metas.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59</xdr:row>
      <xdr:rowOff>9525</xdr:rowOff>
    </xdr:from>
    <xdr:to>
      <xdr:col>7</xdr:col>
      <xdr:colOff>38100</xdr:colOff>
      <xdr:row>65</xdr:row>
      <xdr:rowOff>9525</xdr:rowOff>
    </xdr:to>
    <xdr:sp macro="" textlink="">
      <xdr:nvSpPr>
        <xdr:cNvPr id="6145" name="Text Box 1"/>
        <xdr:cNvSpPr txBox="1">
          <a:spLocks noChangeArrowheads="1"/>
        </xdr:cNvSpPr>
      </xdr:nvSpPr>
      <xdr:spPr bwMode="auto">
        <a:xfrm>
          <a:off x="57150" y="8943975"/>
          <a:ext cx="6896100" cy="8572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pt-BR" sz="1000" b="0" i="0" strike="noStrike">
              <a:solidFill>
                <a:srgbClr val="000000"/>
              </a:solidFill>
              <a:latin typeface="Arial"/>
              <a:cs typeface="Arial"/>
            </a:rPr>
            <a:t>o Demonstrativo da Evolução do Patrimônio Líquido deve trazer em conjunto uma análise dos valores apresentados, com as causas das variações do PL do ente da Federação como, por exemplo, fatos que venham a causar desequilíbrio entre as variações ativas e passivas e outros que contribuam para o aumento ou a diminuição da situação líquida patrimonial. </a:t>
          </a:r>
        </a:p>
        <a:p>
          <a:pPr algn="l" rtl="1">
            <a:defRPr sz="1000"/>
          </a:pPr>
          <a:r>
            <a:rPr lang="pt-BR" sz="1000" b="0" i="0" strike="noStrike">
              <a:solidFill>
                <a:srgbClr val="000000"/>
              </a:solidFill>
              <a:latin typeface="Arial"/>
              <a:cs typeface="Arial"/>
            </a:rPr>
            <a:t>Também podem impactar substancialmente no PL a contabilização das projeções atuariais, as reavaliações de bens e outros que possam merecer destaque.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100</xdr:row>
      <xdr:rowOff>95250</xdr:rowOff>
    </xdr:from>
    <xdr:to>
      <xdr:col>9</xdr:col>
      <xdr:colOff>0</xdr:colOff>
      <xdr:row>112</xdr:row>
      <xdr:rowOff>0</xdr:rowOff>
    </xdr:to>
    <xdr:sp macro="" textlink="">
      <xdr:nvSpPr>
        <xdr:cNvPr id="8194" name="Text Box 2"/>
        <xdr:cNvSpPr txBox="1">
          <a:spLocks noChangeArrowheads="1"/>
        </xdr:cNvSpPr>
      </xdr:nvSpPr>
      <xdr:spPr bwMode="auto">
        <a:xfrm>
          <a:off x="19050" y="14687550"/>
          <a:ext cx="5734050" cy="16192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pt-BR" sz="1000" b="0" i="0" strike="noStrike">
              <a:solidFill>
                <a:srgbClr val="000000"/>
              </a:solidFill>
              <a:latin typeface="Arial"/>
              <a:cs typeface="Arial"/>
            </a:rPr>
            <a:t>As receitas devem ser apresentadas líquidas das deduções.</a:t>
          </a:r>
        </a:p>
        <a:p>
          <a:pPr algn="l" rtl="1">
            <a:defRPr sz="1000"/>
          </a:pPr>
          <a:endParaRPr lang="pt-BR" sz="1000" b="0" i="0" strike="noStrike">
            <a:solidFill>
              <a:srgbClr val="000000"/>
            </a:solidFill>
            <a:latin typeface="Arial"/>
            <a:cs typeface="Arial"/>
          </a:endParaRPr>
        </a:p>
        <a:p>
          <a:pPr algn="l" rtl="1">
            <a:defRPr sz="1000"/>
          </a:pPr>
          <a:r>
            <a:rPr lang="pt-BR" sz="1000" b="0" i="0" strike="noStrike">
              <a:solidFill>
                <a:srgbClr val="000000"/>
              </a:solidFill>
              <a:latin typeface="Arial"/>
              <a:cs typeface="Arial"/>
            </a:rPr>
            <a:t>Os demonstrativos também deverão estar acompanhados de análise descritiva dos parâmetros utilizados na avaliação atuarial e de valores que possuam maior relevância para o entendimento da situação financeira e atuarial do RPPS. Na análise e nas projeções devem ser atendidas as normas e critérios estabelecidos pelo Ministério da Previdência Social. Variações atípicas observadas, base de dados utilizada e outros elementos considerados relevantes também deverão ser objetos de análise, estabelecendo-se, dessa forma, consistência entre os dados utilizados e os valores apresentados.</a:t>
          </a:r>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K92"/>
  <sheetViews>
    <sheetView view="pageBreakPreview" zoomScale="60" zoomScaleNormal="100" workbookViewId="0">
      <selection activeCell="A2" sqref="A2:H2"/>
    </sheetView>
  </sheetViews>
  <sheetFormatPr defaultRowHeight="12.75"/>
  <cols>
    <col min="1" max="1" width="2.7109375" style="183" customWidth="1"/>
    <col min="2" max="2" width="37.42578125" style="183" customWidth="1"/>
    <col min="3" max="3" width="14.28515625" style="183" customWidth="1"/>
    <col min="4" max="4" width="18.42578125" style="183" bestFit="1" customWidth="1"/>
    <col min="5" max="5" width="18" style="183" bestFit="1" customWidth="1"/>
    <col min="6" max="6" width="17.5703125" style="183" bestFit="1" customWidth="1"/>
    <col min="7" max="8" width="13.85546875" style="183" customWidth="1"/>
    <col min="9" max="9" width="19.85546875" style="183" bestFit="1" customWidth="1"/>
    <col min="10" max="10" width="4.7109375" style="183" hidden="1" customWidth="1"/>
    <col min="11" max="11" width="19.85546875" style="183" bestFit="1" customWidth="1"/>
    <col min="12" max="16384" width="9.140625" style="183"/>
  </cols>
  <sheetData>
    <row r="1" spans="1:11">
      <c r="A1" s="485" t="s">
        <v>81</v>
      </c>
      <c r="B1" s="485"/>
      <c r="C1" s="485"/>
      <c r="D1" s="485"/>
      <c r="E1" s="485"/>
      <c r="F1" s="485"/>
      <c r="G1" s="485"/>
      <c r="H1" s="485"/>
      <c r="I1" s="485"/>
      <c r="J1" s="485"/>
    </row>
    <row r="2" spans="1:11">
      <c r="A2" s="487" t="s">
        <v>21</v>
      </c>
      <c r="B2" s="487"/>
      <c r="C2" s="487"/>
      <c r="D2" s="487"/>
      <c r="E2" s="487"/>
      <c r="F2" s="487"/>
      <c r="G2" s="487"/>
      <c r="H2" s="487"/>
    </row>
    <row r="3" spans="1:11">
      <c r="A3" s="487" t="s">
        <v>195</v>
      </c>
      <c r="B3" s="487"/>
      <c r="C3" s="487"/>
      <c r="D3" s="487"/>
      <c r="E3" s="487"/>
      <c r="F3" s="487"/>
      <c r="G3" s="487"/>
      <c r="H3" s="487"/>
      <c r="I3" s="487"/>
      <c r="J3" s="487"/>
    </row>
    <row r="4" spans="1:11">
      <c r="A4" s="189"/>
      <c r="B4" s="189"/>
      <c r="C4" s="189"/>
      <c r="D4" s="189"/>
      <c r="E4" s="189" t="s">
        <v>386</v>
      </c>
      <c r="F4" s="189"/>
      <c r="G4" s="189"/>
      <c r="H4" s="189"/>
      <c r="I4" s="189"/>
      <c r="J4" s="189"/>
    </row>
    <row r="5" spans="1:11">
      <c r="A5" s="487" t="s">
        <v>167</v>
      </c>
      <c r="B5" s="487"/>
      <c r="C5" s="487"/>
      <c r="D5" s="487"/>
      <c r="E5" s="487"/>
      <c r="F5" s="487"/>
      <c r="G5" s="487"/>
      <c r="H5" s="487"/>
      <c r="I5" s="487"/>
      <c r="J5" s="487"/>
    </row>
    <row r="6" spans="1:11">
      <c r="A6" s="486">
        <v>2010</v>
      </c>
      <c r="B6" s="487"/>
      <c r="C6" s="487"/>
      <c r="D6" s="487"/>
      <c r="E6" s="487"/>
      <c r="F6" s="487"/>
      <c r="G6" s="487"/>
      <c r="H6" s="487"/>
      <c r="I6" s="487"/>
      <c r="J6" s="487"/>
    </row>
    <row r="8" spans="1:11" ht="15.75">
      <c r="A8" s="488" t="s">
        <v>339</v>
      </c>
      <c r="B8" s="488"/>
      <c r="C8" s="488"/>
      <c r="D8" s="488"/>
      <c r="E8" s="488"/>
      <c r="F8" s="488"/>
      <c r="G8" s="488"/>
      <c r="H8" s="488"/>
      <c r="I8" s="488"/>
    </row>
    <row r="9" spans="1:11" ht="15" customHeight="1">
      <c r="A9" s="190"/>
      <c r="B9" s="190"/>
      <c r="C9" s="190"/>
      <c r="D9" s="190"/>
      <c r="E9" s="190"/>
      <c r="F9" s="190"/>
      <c r="G9" s="190"/>
      <c r="H9" s="190"/>
      <c r="I9" s="190"/>
    </row>
    <row r="10" spans="1:11" ht="15" customHeight="1">
      <c r="A10" s="191"/>
      <c r="B10" s="192" t="s">
        <v>324</v>
      </c>
      <c r="C10" s="193"/>
      <c r="D10" s="193"/>
      <c r="E10" s="193"/>
      <c r="F10" s="194"/>
      <c r="G10" s="195" t="s">
        <v>340</v>
      </c>
      <c r="H10" s="196"/>
      <c r="I10" s="197">
        <v>4.4999999999999998E-2</v>
      </c>
      <c r="J10" s="195"/>
      <c r="K10" s="198"/>
    </row>
    <row r="11" spans="1:11" ht="14.25" customHeight="1">
      <c r="A11" s="481" t="s">
        <v>341</v>
      </c>
      <c r="B11" s="482"/>
      <c r="C11" s="193" t="s">
        <v>342</v>
      </c>
      <c r="D11" s="193"/>
      <c r="E11" s="194"/>
      <c r="F11" s="199" t="s">
        <v>343</v>
      </c>
      <c r="G11" s="200"/>
      <c r="H11" s="201" t="s">
        <v>344</v>
      </c>
      <c r="I11" s="201"/>
      <c r="J11" s="201"/>
      <c r="K11" s="202"/>
    </row>
    <row r="12" spans="1:11" ht="12.75" customHeight="1">
      <c r="A12" s="483"/>
      <c r="B12" s="484"/>
      <c r="C12" s="203" t="s">
        <v>345</v>
      </c>
      <c r="D12" s="199" t="s">
        <v>346</v>
      </c>
      <c r="E12" s="199" t="s">
        <v>347</v>
      </c>
      <c r="F12" s="204" t="s">
        <v>348</v>
      </c>
      <c r="G12" s="199" t="s">
        <v>349</v>
      </c>
      <c r="H12" s="204" t="s">
        <v>350</v>
      </c>
      <c r="I12" s="199" t="s">
        <v>351</v>
      </c>
      <c r="J12" s="205"/>
      <c r="K12" s="198" t="s">
        <v>76</v>
      </c>
    </row>
    <row r="13" spans="1:11" ht="14.25" customHeight="1">
      <c r="A13" s="490" t="s">
        <v>352</v>
      </c>
      <c r="B13" s="491"/>
      <c r="C13" s="206">
        <f>SUM(C14:C16)</f>
        <v>297567.61000000004</v>
      </c>
      <c r="D13" s="206">
        <f t="shared" ref="D13:I13" si="0">SUM(D14:D16)</f>
        <v>194326.78999999998</v>
      </c>
      <c r="E13" s="206">
        <f t="shared" si="0"/>
        <v>273273.39999999997</v>
      </c>
      <c r="F13" s="206">
        <f t="shared" si="0"/>
        <v>277804</v>
      </c>
      <c r="G13" s="207">
        <f t="shared" si="0"/>
        <v>268500</v>
      </c>
      <c r="H13" s="207">
        <f t="shared" si="0"/>
        <v>280500</v>
      </c>
      <c r="I13" s="207">
        <f t="shared" si="0"/>
        <v>293100</v>
      </c>
      <c r="J13" s="207"/>
      <c r="K13" s="208">
        <f t="shared" ref="K13:K27" si="1">SUM(G13:J13)</f>
        <v>842100</v>
      </c>
    </row>
    <row r="14" spans="1:11" ht="15" customHeight="1">
      <c r="A14" s="209"/>
      <c r="B14" s="210" t="s">
        <v>353</v>
      </c>
      <c r="C14" s="211">
        <v>266699.01</v>
      </c>
      <c r="D14" s="212">
        <v>172842.12</v>
      </c>
      <c r="E14" s="212">
        <v>254500.3</v>
      </c>
      <c r="F14" s="213">
        <v>257000</v>
      </c>
      <c r="G14" s="214">
        <f>F14*$I$10+F14-65</f>
        <v>268500</v>
      </c>
      <c r="H14" s="214">
        <f>G14*$I$10+G14-82.5</f>
        <v>280500</v>
      </c>
      <c r="I14" s="214">
        <f>H14*$I$10+H14-2.5-20</f>
        <v>293100</v>
      </c>
      <c r="J14" s="214"/>
      <c r="K14" s="215">
        <f t="shared" si="1"/>
        <v>842100</v>
      </c>
    </row>
    <row r="15" spans="1:11" ht="14.25" customHeight="1">
      <c r="A15" s="209"/>
      <c r="B15" s="210" t="s">
        <v>354</v>
      </c>
      <c r="C15" s="211">
        <v>2339.2800000000002</v>
      </c>
      <c r="D15" s="212">
        <v>3884.86</v>
      </c>
      <c r="E15" s="212">
        <v>5234.59</v>
      </c>
      <c r="F15" s="213">
        <v>5204</v>
      </c>
      <c r="G15" s="214"/>
      <c r="H15" s="214"/>
      <c r="I15" s="214"/>
      <c r="J15" s="214"/>
      <c r="K15" s="215"/>
    </row>
    <row r="16" spans="1:11">
      <c r="A16" s="209"/>
      <c r="B16" s="210" t="s">
        <v>355</v>
      </c>
      <c r="C16" s="211">
        <v>28529.32</v>
      </c>
      <c r="D16" s="212">
        <v>17599.810000000001</v>
      </c>
      <c r="E16" s="212">
        <v>13538.51</v>
      </c>
      <c r="F16" s="213">
        <v>15600</v>
      </c>
      <c r="G16" s="214"/>
      <c r="H16" s="214"/>
      <c r="I16" s="214"/>
      <c r="J16" s="214"/>
      <c r="K16" s="215"/>
    </row>
    <row r="17" spans="1:11">
      <c r="A17" s="490" t="s">
        <v>164</v>
      </c>
      <c r="B17" s="491"/>
      <c r="C17" s="206">
        <f>C18</f>
        <v>128320.71</v>
      </c>
      <c r="D17" s="206">
        <f t="shared" ref="D17:I17" si="2">D18</f>
        <v>212437.75</v>
      </c>
      <c r="E17" s="206">
        <f t="shared" si="2"/>
        <v>70683.69</v>
      </c>
      <c r="F17" s="206">
        <f t="shared" si="2"/>
        <v>58200</v>
      </c>
      <c r="G17" s="207">
        <f t="shared" si="2"/>
        <v>60800</v>
      </c>
      <c r="H17" s="207">
        <f t="shared" si="2"/>
        <v>63000</v>
      </c>
      <c r="I17" s="207">
        <f t="shared" si="2"/>
        <v>65800</v>
      </c>
      <c r="J17" s="207"/>
      <c r="K17" s="215">
        <f t="shared" si="1"/>
        <v>189600</v>
      </c>
    </row>
    <row r="18" spans="1:11">
      <c r="A18" s="209"/>
      <c r="B18" s="210" t="s">
        <v>356</v>
      </c>
      <c r="C18" s="211">
        <v>128320.71</v>
      </c>
      <c r="D18" s="212">
        <v>212437.75</v>
      </c>
      <c r="E18" s="212">
        <v>70683.69</v>
      </c>
      <c r="F18" s="213">
        <v>58200</v>
      </c>
      <c r="G18" s="214">
        <f>(F18*$I$10+F18)-19</f>
        <v>60800</v>
      </c>
      <c r="H18" s="214">
        <f>G18*$I$10+G18-536</f>
        <v>63000</v>
      </c>
      <c r="I18" s="214">
        <f>H18*$I$10+H18-35</f>
        <v>65800</v>
      </c>
      <c r="J18" s="214"/>
      <c r="K18" s="215">
        <f t="shared" si="1"/>
        <v>189600</v>
      </c>
    </row>
    <row r="19" spans="1:11">
      <c r="A19" s="490" t="s">
        <v>165</v>
      </c>
      <c r="B19" s="491"/>
      <c r="C19" s="206">
        <f>SUM(C20:C23)</f>
        <v>38227.659999999996</v>
      </c>
      <c r="D19" s="206">
        <f t="shared" ref="D19:I19" si="3">SUM(D20:D23)</f>
        <v>70367.569999999992</v>
      </c>
      <c r="E19" s="206">
        <f t="shared" si="3"/>
        <v>60470.039999999994</v>
      </c>
      <c r="F19" s="206">
        <f t="shared" si="3"/>
        <v>55900</v>
      </c>
      <c r="G19" s="207">
        <f t="shared" si="3"/>
        <v>38400</v>
      </c>
      <c r="H19" s="207">
        <f t="shared" si="3"/>
        <v>39900</v>
      </c>
      <c r="I19" s="207">
        <f t="shared" si="3"/>
        <v>41500</v>
      </c>
      <c r="J19" s="207"/>
      <c r="K19" s="215">
        <f t="shared" si="1"/>
        <v>119800</v>
      </c>
    </row>
    <row r="20" spans="1:11">
      <c r="A20" s="216"/>
      <c r="B20" s="210" t="s">
        <v>357</v>
      </c>
      <c r="C20" s="211">
        <v>5622.26</v>
      </c>
      <c r="D20" s="212">
        <v>4358.04</v>
      </c>
      <c r="E20" s="212">
        <v>4112.04</v>
      </c>
      <c r="F20" s="213">
        <v>4100</v>
      </c>
      <c r="G20" s="214">
        <f>F20*$I$10+F20-84.5</f>
        <v>4200</v>
      </c>
      <c r="H20" s="214">
        <f>G20*$I$10+G20-89</f>
        <v>4300</v>
      </c>
      <c r="I20" s="214">
        <f>H20*$I$10+H20+6.5</f>
        <v>4500</v>
      </c>
      <c r="J20" s="214"/>
      <c r="K20" s="215">
        <f t="shared" si="1"/>
        <v>13000</v>
      </c>
    </row>
    <row r="21" spans="1:11">
      <c r="A21" s="216"/>
      <c r="B21" s="210" t="s">
        <v>358</v>
      </c>
      <c r="C21" s="211">
        <v>1863.7</v>
      </c>
      <c r="D21" s="212">
        <v>23402.3</v>
      </c>
      <c r="E21" s="212">
        <v>101.2</v>
      </c>
      <c r="F21" s="213">
        <v>1000</v>
      </c>
      <c r="G21" s="214">
        <f>F21*$I$10+F21-45</f>
        <v>1000</v>
      </c>
      <c r="H21" s="214">
        <f>G21*$I$10+G21-45</f>
        <v>1000</v>
      </c>
      <c r="I21" s="214">
        <f>H21*$I$10+H21-45</f>
        <v>1000</v>
      </c>
      <c r="J21" s="214"/>
      <c r="K21" s="215">
        <f t="shared" si="1"/>
        <v>3000</v>
      </c>
    </row>
    <row r="22" spans="1:11">
      <c r="A22" s="216"/>
      <c r="B22" s="210" t="s">
        <v>359</v>
      </c>
      <c r="C22" s="211">
        <v>29639.1</v>
      </c>
      <c r="D22" s="212">
        <v>35630.78</v>
      </c>
      <c r="E22" s="212">
        <v>38356.1</v>
      </c>
      <c r="F22" s="213">
        <v>30000</v>
      </c>
      <c r="G22" s="214">
        <f>F22*$I$10+F22-50</f>
        <v>31300</v>
      </c>
      <c r="H22" s="214">
        <f>G22*$I$10+G22-8.5</f>
        <v>32700</v>
      </c>
      <c r="I22" s="214">
        <f>H22*$I$10+H22-71.5</f>
        <v>34100</v>
      </c>
      <c r="J22" s="214"/>
      <c r="K22" s="215">
        <f t="shared" si="1"/>
        <v>98100</v>
      </c>
    </row>
    <row r="23" spans="1:11">
      <c r="A23" s="216"/>
      <c r="B23" s="210" t="s">
        <v>360</v>
      </c>
      <c r="C23" s="211">
        <v>1102.5999999999999</v>
      </c>
      <c r="D23" s="212">
        <v>6976.45</v>
      </c>
      <c r="E23" s="212">
        <v>17900.7</v>
      </c>
      <c r="F23" s="213">
        <v>20800</v>
      </c>
      <c r="G23" s="214">
        <v>1900</v>
      </c>
      <c r="H23" s="214">
        <v>1900</v>
      </c>
      <c r="I23" s="214">
        <v>1900</v>
      </c>
      <c r="J23" s="214"/>
      <c r="K23" s="215">
        <f t="shared" si="1"/>
        <v>5700</v>
      </c>
    </row>
    <row r="24" spans="1:11">
      <c r="A24" s="490" t="s">
        <v>361</v>
      </c>
      <c r="B24" s="491"/>
      <c r="C24" s="206">
        <f>C25+C34+C41+C44</f>
        <v>6872078.04</v>
      </c>
      <c r="D24" s="206">
        <f>D25+D34+D41+D44</f>
        <v>7055064.7299999995</v>
      </c>
      <c r="E24" s="206">
        <f>E25+E34+E41+E44</f>
        <v>8488921.3099999987</v>
      </c>
      <c r="F24" s="206">
        <f>F25+F34+F41+F44</f>
        <v>9711970</v>
      </c>
      <c r="G24" s="207">
        <f>G25+G34+G41</f>
        <v>9491300</v>
      </c>
      <c r="H24" s="207">
        <f>H25+H34+H41</f>
        <v>9917900</v>
      </c>
      <c r="I24" s="207">
        <f>I25+I34+I41</f>
        <v>10363600</v>
      </c>
      <c r="J24" s="207"/>
      <c r="K24" s="215">
        <f t="shared" si="1"/>
        <v>29772800</v>
      </c>
    </row>
    <row r="25" spans="1:11">
      <c r="A25" s="490" t="s">
        <v>362</v>
      </c>
      <c r="B25" s="491"/>
      <c r="C25" s="217">
        <f>SUM(C26:C33)</f>
        <v>3239200.7799999993</v>
      </c>
      <c r="D25" s="217">
        <f t="shared" ref="D25:I25" si="4">SUM(D26:D33)</f>
        <v>3826216.03</v>
      </c>
      <c r="E25" s="217">
        <f t="shared" si="4"/>
        <v>4676575.68</v>
      </c>
      <c r="F25" s="217">
        <f t="shared" si="4"/>
        <v>5516170</v>
      </c>
      <c r="G25" s="218">
        <f t="shared" si="4"/>
        <v>5227300</v>
      </c>
      <c r="H25" s="218">
        <f t="shared" si="4"/>
        <v>5462400</v>
      </c>
      <c r="I25" s="218">
        <f t="shared" si="4"/>
        <v>5708000</v>
      </c>
      <c r="J25" s="218"/>
      <c r="K25" s="215">
        <f t="shared" si="1"/>
        <v>16397700</v>
      </c>
    </row>
    <row r="26" spans="1:11">
      <c r="A26" s="216"/>
      <c r="B26" s="219" t="s">
        <v>363</v>
      </c>
      <c r="C26" s="220">
        <v>2797615.36</v>
      </c>
      <c r="D26" s="221">
        <v>3381679.7</v>
      </c>
      <c r="E26" s="221">
        <v>4173878.81</v>
      </c>
      <c r="F26" s="222">
        <v>4780000</v>
      </c>
      <c r="G26" s="214">
        <f>F26*$I$10+F26+59300</f>
        <v>5054400</v>
      </c>
      <c r="H26" s="214">
        <f>G26*$I$10+G26-48</f>
        <v>5281800</v>
      </c>
      <c r="I26" s="214">
        <f>H26*$I$10+H26-81</f>
        <v>5519400</v>
      </c>
      <c r="J26" s="214"/>
      <c r="K26" s="215">
        <f t="shared" si="1"/>
        <v>15855600</v>
      </c>
    </row>
    <row r="27" spans="1:11">
      <c r="A27" s="223"/>
      <c r="B27" s="224" t="s">
        <v>364</v>
      </c>
      <c r="C27" s="211">
        <v>53071.05</v>
      </c>
      <c r="D27" s="212">
        <v>57011.3</v>
      </c>
      <c r="E27" s="212">
        <v>65726.09</v>
      </c>
      <c r="F27" s="225">
        <v>57000</v>
      </c>
      <c r="G27" s="214">
        <f>F27*$I$10+F27-65</f>
        <v>59500</v>
      </c>
      <c r="H27" s="214">
        <f>G27*$I$10+G27-77.5</f>
        <v>62100</v>
      </c>
      <c r="I27" s="214">
        <f>H27*$I$10+H27-94.5</f>
        <v>64800</v>
      </c>
      <c r="J27" s="214"/>
      <c r="K27" s="215">
        <f t="shared" si="1"/>
        <v>186400</v>
      </c>
    </row>
    <row r="28" spans="1:11">
      <c r="A28" s="223"/>
      <c r="B28" s="224" t="s">
        <v>365</v>
      </c>
      <c r="C28" s="211">
        <v>100017.96</v>
      </c>
      <c r="D28" s="212">
        <v>33151.980000000003</v>
      </c>
      <c r="E28" s="212">
        <v>44908.41</v>
      </c>
      <c r="F28" s="225">
        <v>35000</v>
      </c>
      <c r="G28" s="214"/>
      <c r="H28" s="214"/>
      <c r="I28" s="214"/>
      <c r="J28" s="214"/>
      <c r="K28" s="215"/>
    </row>
    <row r="29" spans="1:11">
      <c r="A29" s="223"/>
      <c r="B29" s="224" t="s">
        <v>366</v>
      </c>
      <c r="C29" s="211">
        <v>35710.480000000003</v>
      </c>
      <c r="D29" s="212">
        <v>34986.21</v>
      </c>
      <c r="E29" s="212">
        <v>55661.02</v>
      </c>
      <c r="F29" s="225">
        <v>58000</v>
      </c>
      <c r="G29" s="214"/>
      <c r="H29" s="214"/>
      <c r="I29" s="214"/>
      <c r="J29" s="214"/>
      <c r="K29" s="215"/>
    </row>
    <row r="30" spans="1:11">
      <c r="A30" s="223"/>
      <c r="B30" s="224" t="s">
        <v>367</v>
      </c>
      <c r="C30" s="211"/>
      <c r="D30" s="212">
        <v>43740.19</v>
      </c>
      <c r="E30" s="212">
        <v>35909.769999999997</v>
      </c>
      <c r="F30" s="225">
        <v>29370</v>
      </c>
      <c r="G30" s="214"/>
      <c r="H30" s="214"/>
      <c r="I30" s="214"/>
      <c r="J30" s="214"/>
      <c r="K30" s="215"/>
    </row>
    <row r="31" spans="1:11">
      <c r="A31" s="223"/>
      <c r="B31" s="224" t="s">
        <v>368</v>
      </c>
      <c r="C31" s="211">
        <v>164527.10999999999</v>
      </c>
      <c r="D31" s="212">
        <v>180592.3</v>
      </c>
      <c r="E31" s="212">
        <v>200077.9</v>
      </c>
      <c r="F31" s="225">
        <v>448200</v>
      </c>
      <c r="G31" s="214"/>
      <c r="H31" s="214"/>
      <c r="I31" s="214"/>
      <c r="J31" s="214"/>
      <c r="K31" s="215"/>
    </row>
    <row r="32" spans="1:11">
      <c r="A32" s="223"/>
      <c r="B32" s="224" t="s">
        <v>369</v>
      </c>
      <c r="C32" s="211">
        <v>7410.98</v>
      </c>
      <c r="D32" s="212">
        <v>9122.5</v>
      </c>
      <c r="E32" s="212">
        <v>8607</v>
      </c>
      <c r="F32" s="225">
        <v>8600</v>
      </c>
      <c r="G32" s="214">
        <f>F32*$I$10+F32-87</f>
        <v>8900</v>
      </c>
      <c r="H32" s="214">
        <f>G32*$I$10+G32-0.5</f>
        <v>9300</v>
      </c>
      <c r="I32" s="214">
        <f>H32*$I$10+H32-18.5</f>
        <v>9700</v>
      </c>
      <c r="J32" s="214"/>
      <c r="K32" s="215">
        <f>SUM(G32:J32)</f>
        <v>27900</v>
      </c>
    </row>
    <row r="33" spans="1:11">
      <c r="A33" s="223"/>
      <c r="B33" s="224" t="s">
        <v>370</v>
      </c>
      <c r="C33" s="211">
        <v>80847.839999999997</v>
      </c>
      <c r="D33" s="212">
        <v>85931.85</v>
      </c>
      <c r="E33" s="212">
        <v>91806.68</v>
      </c>
      <c r="F33" s="225">
        <v>100000</v>
      </c>
      <c r="G33" s="214">
        <f>F33*$I$10+F33</f>
        <v>104500</v>
      </c>
      <c r="H33" s="214">
        <f>G33*$I$10+G33-2.5</f>
        <v>109200</v>
      </c>
      <c r="I33" s="214">
        <f>H33*$I$10+H33-14</f>
        <v>114100</v>
      </c>
      <c r="J33" s="214"/>
      <c r="K33" s="215">
        <f>SUM(G33:J33)</f>
        <v>327800</v>
      </c>
    </row>
    <row r="34" spans="1:11">
      <c r="A34" s="490" t="s">
        <v>371</v>
      </c>
      <c r="B34" s="491"/>
      <c r="C34" s="206">
        <f>SUM(C35:C40)</f>
        <v>3150909.1500000004</v>
      </c>
      <c r="D34" s="206">
        <f t="shared" ref="D34:I34" si="5">SUM(D35:D40)</f>
        <v>2693461.3299999996</v>
      </c>
      <c r="E34" s="206">
        <f t="shared" si="5"/>
        <v>3074681.04</v>
      </c>
      <c r="F34" s="206">
        <f t="shared" si="5"/>
        <v>3447300</v>
      </c>
      <c r="G34" s="207">
        <f t="shared" si="5"/>
        <v>3495900</v>
      </c>
      <c r="H34" s="207">
        <f t="shared" si="5"/>
        <v>3652900</v>
      </c>
      <c r="I34" s="207">
        <f t="shared" si="5"/>
        <v>3816900</v>
      </c>
      <c r="J34" s="207"/>
      <c r="K34" s="215">
        <f t="shared" ref="K34:K46" si="6">SUM(G34:J34)</f>
        <v>10965700</v>
      </c>
    </row>
    <row r="35" spans="1:11">
      <c r="A35" s="223"/>
      <c r="B35" s="224" t="s">
        <v>372</v>
      </c>
      <c r="C35" s="211">
        <v>2935384.57</v>
      </c>
      <c r="D35" s="212">
        <v>2465060.15</v>
      </c>
      <c r="E35" s="212">
        <v>2773683.93</v>
      </c>
      <c r="F35" s="225">
        <v>3159200</v>
      </c>
      <c r="G35" s="214">
        <f>F35*$I$10+F35-64</f>
        <v>3301300</v>
      </c>
      <c r="H35" s="214">
        <f>G35*$I$10+G35-58.5</f>
        <v>3449800</v>
      </c>
      <c r="I35" s="214">
        <f>H35*$I$10+H35-41</f>
        <v>3605000</v>
      </c>
      <c r="J35" s="214"/>
      <c r="K35" s="215">
        <f t="shared" si="6"/>
        <v>10356100</v>
      </c>
    </row>
    <row r="36" spans="1:11">
      <c r="A36" s="223"/>
      <c r="B36" s="224" t="s">
        <v>373</v>
      </c>
      <c r="C36" s="211">
        <v>47627.47</v>
      </c>
      <c r="D36" s="212">
        <v>49315.09</v>
      </c>
      <c r="E36" s="212">
        <v>62709.14</v>
      </c>
      <c r="F36" s="225">
        <v>72000</v>
      </c>
      <c r="G36" s="214">
        <f>F36*$I$10+F36-40</f>
        <v>75200</v>
      </c>
      <c r="H36" s="214">
        <f>G36*$I$10+G36-84</f>
        <v>78500</v>
      </c>
      <c r="I36" s="214">
        <f>H36*$I$10+H36-32.5</f>
        <v>82000</v>
      </c>
      <c r="J36" s="214"/>
      <c r="K36" s="215">
        <f t="shared" si="6"/>
        <v>235700</v>
      </c>
    </row>
    <row r="37" spans="1:11">
      <c r="A37" s="223"/>
      <c r="B37" s="224" t="s">
        <v>374</v>
      </c>
      <c r="C37" s="211">
        <v>80856.7</v>
      </c>
      <c r="D37" s="212">
        <v>81396.28</v>
      </c>
      <c r="E37" s="212">
        <v>89103.02</v>
      </c>
      <c r="F37" s="225">
        <v>106000</v>
      </c>
      <c r="G37" s="214">
        <f>F37*$I$10+F3870-70</f>
        <v>4700</v>
      </c>
      <c r="H37" s="214">
        <f>G37*$I$10+G37-11.5</f>
        <v>4900</v>
      </c>
      <c r="I37" s="214">
        <f>H37*$I$10+H37-120.5</f>
        <v>5000</v>
      </c>
      <c r="J37" s="214"/>
      <c r="K37" s="215">
        <f t="shared" si="6"/>
        <v>14600</v>
      </c>
    </row>
    <row r="38" spans="1:11">
      <c r="A38" s="223"/>
      <c r="B38" s="224" t="s">
        <v>375</v>
      </c>
      <c r="C38" s="211">
        <v>18407.23</v>
      </c>
      <c r="D38" s="212">
        <v>18764.830000000002</v>
      </c>
      <c r="E38" s="212">
        <v>15569.03</v>
      </c>
      <c r="F38" s="225">
        <v>28000</v>
      </c>
      <c r="G38" s="214">
        <f>F38*$I$10+F38-60</f>
        <v>29200</v>
      </c>
      <c r="H38" s="214">
        <f>G38*$I$10+G38-14</f>
        <v>30500</v>
      </c>
      <c r="I38" s="214">
        <f>H38*$I$10+H38-72.5</f>
        <v>31800</v>
      </c>
      <c r="J38" s="214"/>
      <c r="K38" s="215">
        <f t="shared" si="6"/>
        <v>91500</v>
      </c>
    </row>
    <row r="39" spans="1:11">
      <c r="A39" s="223"/>
      <c r="B39" s="224" t="s">
        <v>376</v>
      </c>
      <c r="C39" s="211">
        <v>63843.23</v>
      </c>
      <c r="D39" s="212">
        <v>74651.179999999993</v>
      </c>
      <c r="E39" s="212">
        <v>127653.3</v>
      </c>
      <c r="F39" s="225">
        <v>76100</v>
      </c>
      <c r="G39" s="214">
        <f>F39*$I$10+F39-24.5</f>
        <v>79500</v>
      </c>
      <c r="H39" s="214">
        <f>G39*$I$10+G39-77.5</f>
        <v>83000</v>
      </c>
      <c r="I39" s="214">
        <f>H39*$I$10+H39-35</f>
        <v>86700</v>
      </c>
      <c r="J39" s="214"/>
      <c r="K39" s="215">
        <f t="shared" si="6"/>
        <v>249200</v>
      </c>
    </row>
    <row r="40" spans="1:11">
      <c r="A40" s="223"/>
      <c r="B40" s="224" t="s">
        <v>377</v>
      </c>
      <c r="C40" s="211">
        <v>4789.95</v>
      </c>
      <c r="D40" s="212">
        <v>4273.8</v>
      </c>
      <c r="E40" s="212">
        <v>5962.62</v>
      </c>
      <c r="F40" s="225">
        <v>6000</v>
      </c>
      <c r="G40" s="214">
        <f>F40*$I$10+F40-270</f>
        <v>6000</v>
      </c>
      <c r="H40" s="214">
        <f>G40*$I$10+G40-70</f>
        <v>6200</v>
      </c>
      <c r="I40" s="214">
        <f>H40*$I$10+H40-79</f>
        <v>6400</v>
      </c>
      <c r="J40" s="214"/>
      <c r="K40" s="215">
        <f t="shared" si="6"/>
        <v>18600</v>
      </c>
    </row>
    <row r="41" spans="1:11">
      <c r="A41" s="492" t="s">
        <v>378</v>
      </c>
      <c r="B41" s="493"/>
      <c r="C41" s="206">
        <f t="shared" ref="C41:I41" si="7">C42</f>
        <v>441844.67</v>
      </c>
      <c r="D41" s="206">
        <f t="shared" si="7"/>
        <v>513978.21</v>
      </c>
      <c r="E41" s="206">
        <f t="shared" si="7"/>
        <v>679583.06</v>
      </c>
      <c r="F41" s="206">
        <f t="shared" si="7"/>
        <v>735000</v>
      </c>
      <c r="G41" s="226">
        <f t="shared" si="7"/>
        <v>768100</v>
      </c>
      <c r="H41" s="226">
        <f t="shared" si="7"/>
        <v>802600</v>
      </c>
      <c r="I41" s="226">
        <f t="shared" si="7"/>
        <v>838700</v>
      </c>
      <c r="J41" s="226"/>
      <c r="K41" s="215">
        <f t="shared" si="6"/>
        <v>2409400</v>
      </c>
    </row>
    <row r="42" spans="1:11">
      <c r="A42" s="223"/>
      <c r="B42" s="224" t="s">
        <v>379</v>
      </c>
      <c r="C42" s="211">
        <v>441844.67</v>
      </c>
      <c r="D42" s="212">
        <v>513978.21</v>
      </c>
      <c r="E42" s="212">
        <v>679583.06</v>
      </c>
      <c r="F42" s="225">
        <v>735000</v>
      </c>
      <c r="G42" s="214">
        <f>F42*$I$10+F42+25</f>
        <v>768100</v>
      </c>
      <c r="H42" s="214">
        <f>G42*$I$10+G42-64.5</f>
        <v>802600</v>
      </c>
      <c r="I42" s="214">
        <f>H42*$I$10+H42-17</f>
        <v>838700</v>
      </c>
      <c r="J42" s="214"/>
      <c r="K42" s="215">
        <f t="shared" si="6"/>
        <v>2409400</v>
      </c>
    </row>
    <row r="43" spans="1:11">
      <c r="A43" s="227" t="s">
        <v>380</v>
      </c>
      <c r="B43" s="227"/>
      <c r="C43" s="206">
        <v>48563.5</v>
      </c>
      <c r="D43" s="228">
        <v>38116.92</v>
      </c>
      <c r="E43" s="228">
        <v>40715.46</v>
      </c>
      <c r="F43" s="229">
        <v>40000</v>
      </c>
      <c r="G43" s="230"/>
      <c r="H43" s="230"/>
      <c r="I43" s="230"/>
      <c r="J43" s="230"/>
      <c r="K43" s="215">
        <f t="shared" si="6"/>
        <v>0</v>
      </c>
    </row>
    <row r="44" spans="1:11">
      <c r="A44" s="231" t="s">
        <v>166</v>
      </c>
      <c r="B44" s="227"/>
      <c r="C44" s="206">
        <v>40123.440000000002</v>
      </c>
      <c r="D44" s="228">
        <v>21409.16</v>
      </c>
      <c r="E44" s="228">
        <v>58081.53</v>
      </c>
      <c r="F44" s="229">
        <v>13500</v>
      </c>
      <c r="G44" s="230">
        <f>F44*$I$10+F44-107.5</f>
        <v>14000</v>
      </c>
      <c r="H44" s="230">
        <f>G44*$I$10+G44-30</f>
        <v>14600</v>
      </c>
      <c r="I44" s="230">
        <f>H44*$I$10+H44-57</f>
        <v>15200</v>
      </c>
      <c r="J44" s="230"/>
      <c r="K44" s="215">
        <f t="shared" si="6"/>
        <v>43800</v>
      </c>
    </row>
    <row r="45" spans="1:11">
      <c r="A45" s="231" t="s">
        <v>381</v>
      </c>
      <c r="B45" s="227"/>
      <c r="C45" s="206">
        <v>30000</v>
      </c>
      <c r="D45" s="228">
        <v>347227.11</v>
      </c>
      <c r="E45" s="228">
        <v>128618.56</v>
      </c>
      <c r="F45" s="229">
        <v>0</v>
      </c>
      <c r="G45" s="230">
        <f>F45*$I$5+F45</f>
        <v>0</v>
      </c>
      <c r="H45" s="230">
        <f>G45*$I$10+G45</f>
        <v>0</v>
      </c>
      <c r="I45" s="230">
        <f>H45*$I$5+H45</f>
        <v>0</v>
      </c>
      <c r="J45" s="230"/>
      <c r="K45" s="215">
        <f t="shared" si="6"/>
        <v>0</v>
      </c>
    </row>
    <row r="46" spans="1:11">
      <c r="A46" s="231" t="s">
        <v>382</v>
      </c>
      <c r="B46" s="227" t="s">
        <v>383</v>
      </c>
      <c r="C46" s="206">
        <v>-441844.67</v>
      </c>
      <c r="D46" s="228">
        <v>-514901.45</v>
      </c>
      <c r="E46" s="228">
        <v>-1282183.75</v>
      </c>
      <c r="F46" s="229">
        <v>-1643874</v>
      </c>
      <c r="G46" s="230">
        <v>-1273000</v>
      </c>
      <c r="H46" s="230">
        <f>G46*$I$10+G46-85615</f>
        <v>-1415900</v>
      </c>
      <c r="I46" s="230">
        <f>H46*$I$10+H46-99604.5+20</f>
        <v>-1579200</v>
      </c>
      <c r="J46" s="230"/>
      <c r="K46" s="215">
        <f t="shared" si="6"/>
        <v>-4268100</v>
      </c>
    </row>
    <row r="47" spans="1:11">
      <c r="A47" s="198"/>
      <c r="B47" s="198" t="s">
        <v>384</v>
      </c>
      <c r="C47" s="232">
        <f>C13+C17+C19+C24+C45+C46+C43</f>
        <v>6972912.8500000006</v>
      </c>
      <c r="D47" s="232">
        <f>D13+D17+D19+D24+D45+D46+D43</f>
        <v>7402639.4199999999</v>
      </c>
      <c r="E47" s="232">
        <f>E13+E17+E19+E24+E45+E46+E43</f>
        <v>7780498.71</v>
      </c>
      <c r="F47" s="232">
        <f>F13+F17+F19+F24+F45+F46+F43</f>
        <v>8500000</v>
      </c>
      <c r="G47" s="232">
        <f>G13+G17+G19+G24+G45+G46+G44</f>
        <v>8600000</v>
      </c>
      <c r="H47" s="232">
        <f>H13+H17+H19+H24+H45+H46+H44</f>
        <v>8900000</v>
      </c>
      <c r="I47" s="232">
        <f>I13+I17+I19+I24+I45+I46+I44</f>
        <v>9200000</v>
      </c>
      <c r="J47" s="232"/>
      <c r="K47" s="232">
        <f>K13+K17+K19+K24+K45+K46+K44</f>
        <v>26700000</v>
      </c>
    </row>
    <row r="48" spans="1:11">
      <c r="A48" s="233"/>
      <c r="B48" s="233"/>
      <c r="C48" s="233"/>
      <c r="D48" s="233"/>
      <c r="E48" s="233"/>
      <c r="F48" s="233"/>
      <c r="G48" s="233"/>
      <c r="H48" s="233"/>
      <c r="I48" s="233"/>
      <c r="J48" s="233"/>
      <c r="K48" s="233"/>
    </row>
    <row r="49" spans="1:11">
      <c r="A49" s="233" t="s">
        <v>385</v>
      </c>
      <c r="B49" s="233"/>
      <c r="C49" s="234"/>
      <c r="D49" s="234"/>
      <c r="E49" s="234"/>
      <c r="F49" s="233"/>
      <c r="G49" s="233"/>
      <c r="H49" s="233"/>
      <c r="I49" s="233"/>
      <c r="J49" s="233"/>
      <c r="K49" s="233"/>
    </row>
    <row r="50" spans="1:11">
      <c r="A50" s="233"/>
      <c r="B50" s="233"/>
      <c r="C50" s="233"/>
      <c r="D50" s="233"/>
      <c r="E50" s="233"/>
      <c r="F50" s="233"/>
      <c r="G50" s="233"/>
      <c r="H50" s="233"/>
      <c r="I50" s="233"/>
      <c r="J50" s="233"/>
      <c r="K50" s="233"/>
    </row>
    <row r="51" spans="1:11">
      <c r="B51" s="235" t="s">
        <v>404</v>
      </c>
    </row>
    <row r="52" spans="1:11">
      <c r="B52" s="183" t="s">
        <v>232</v>
      </c>
    </row>
    <row r="53" spans="1:11" ht="27.75" customHeight="1">
      <c r="B53" s="489" t="s">
        <v>525</v>
      </c>
      <c r="C53" s="489"/>
      <c r="D53" s="489"/>
      <c r="E53" s="489"/>
      <c r="F53" s="489"/>
      <c r="G53" s="489"/>
      <c r="H53" s="489"/>
    </row>
    <row r="54" spans="1:11">
      <c r="B54" s="236" t="s">
        <v>405</v>
      </c>
      <c r="C54" s="236"/>
      <c r="D54" s="236"/>
      <c r="E54" s="236"/>
      <c r="F54" s="236"/>
      <c r="G54" s="236"/>
      <c r="H54" s="236"/>
    </row>
    <row r="55" spans="1:11">
      <c r="B55" s="235" t="s">
        <v>526</v>
      </c>
    </row>
    <row r="56" spans="1:11">
      <c r="B56" s="235" t="s">
        <v>406</v>
      </c>
    </row>
    <row r="57" spans="1:11">
      <c r="B57" s="235" t="s">
        <v>407</v>
      </c>
    </row>
    <row r="59" spans="1:11" ht="16.5" customHeight="1">
      <c r="B59" s="114" t="s">
        <v>415</v>
      </c>
      <c r="C59" s="114"/>
      <c r="D59" s="115"/>
      <c r="E59" s="115"/>
      <c r="F59" s="115"/>
      <c r="G59" s="115"/>
      <c r="H59" s="115"/>
      <c r="I59" s="115"/>
      <c r="J59" s="115"/>
      <c r="K59" s="115"/>
    </row>
    <row r="60" spans="1:11">
      <c r="B60" s="110" t="s">
        <v>387</v>
      </c>
    </row>
    <row r="61" spans="1:11">
      <c r="B61" s="111" t="s">
        <v>388</v>
      </c>
    </row>
    <row r="62" spans="1:11">
      <c r="B62" s="111" t="s">
        <v>389</v>
      </c>
    </row>
    <row r="63" spans="1:11">
      <c r="B63" s="111" t="s">
        <v>390</v>
      </c>
    </row>
    <row r="64" spans="1:11">
      <c r="B64" s="111" t="s">
        <v>391</v>
      </c>
    </row>
    <row r="65" spans="2:5">
      <c r="B65" s="111" t="s">
        <v>392</v>
      </c>
    </row>
    <row r="66" spans="2:5">
      <c r="B66" s="111" t="s">
        <v>393</v>
      </c>
    </row>
    <row r="67" spans="2:5">
      <c r="B67" s="110"/>
    </row>
    <row r="68" spans="2:5">
      <c r="B68" s="112" t="s">
        <v>394</v>
      </c>
    </row>
    <row r="69" spans="2:5">
      <c r="B69" s="111" t="s">
        <v>395</v>
      </c>
    </row>
    <row r="70" spans="2:5">
      <c r="B70" s="111" t="s">
        <v>396</v>
      </c>
    </row>
    <row r="71" spans="2:5">
      <c r="B71" s="111" t="s">
        <v>397</v>
      </c>
    </row>
    <row r="72" spans="2:5">
      <c r="B72" s="111" t="s">
        <v>398</v>
      </c>
    </row>
    <row r="73" spans="2:5">
      <c r="B73" s="110"/>
    </row>
    <row r="74" spans="2:5">
      <c r="B74" s="112" t="s">
        <v>399</v>
      </c>
    </row>
    <row r="75" spans="2:5">
      <c r="B75" s="111" t="s">
        <v>400</v>
      </c>
    </row>
    <row r="76" spans="2:5">
      <c r="B76" s="111" t="s">
        <v>401</v>
      </c>
    </row>
    <row r="77" spans="2:5">
      <c r="B77" s="111" t="s">
        <v>402</v>
      </c>
    </row>
    <row r="78" spans="2:5">
      <c r="B78" s="111" t="s">
        <v>403</v>
      </c>
    </row>
    <row r="79" spans="2:5">
      <c r="B79" s="113"/>
    </row>
    <row r="80" spans="2:5" ht="12.75" customHeight="1">
      <c r="B80" s="117" t="s">
        <v>416</v>
      </c>
      <c r="C80" s="116"/>
      <c r="D80" s="116"/>
      <c r="E80" s="116"/>
    </row>
    <row r="81" spans="2:7">
      <c r="B81" s="114" t="s">
        <v>417</v>
      </c>
      <c r="C81" s="114"/>
      <c r="D81" s="114"/>
      <c r="E81" s="237"/>
    </row>
    <row r="82" spans="2:7">
      <c r="B82" s="110" t="s">
        <v>418</v>
      </c>
    </row>
    <row r="83" spans="2:7">
      <c r="B83" s="183" t="s">
        <v>524</v>
      </c>
    </row>
    <row r="85" spans="2:7">
      <c r="B85" s="183" t="s">
        <v>408</v>
      </c>
    </row>
    <row r="89" spans="2:7">
      <c r="B89" s="183" t="s">
        <v>409</v>
      </c>
      <c r="D89" s="183" t="s">
        <v>411</v>
      </c>
      <c r="G89" s="183" t="s">
        <v>413</v>
      </c>
    </row>
    <row r="90" spans="2:7">
      <c r="B90" s="183" t="s">
        <v>410</v>
      </c>
      <c r="D90" s="183" t="s">
        <v>412</v>
      </c>
      <c r="G90" s="183" t="s">
        <v>414</v>
      </c>
    </row>
    <row r="92" spans="2:7">
      <c r="B92" s="238"/>
    </row>
  </sheetData>
  <mergeCells count="15">
    <mergeCell ref="B53:H53"/>
    <mergeCell ref="A34:B34"/>
    <mergeCell ref="A41:B41"/>
    <mergeCell ref="A13:B13"/>
    <mergeCell ref="A17:B17"/>
    <mergeCell ref="A19:B19"/>
    <mergeCell ref="A24:B24"/>
    <mergeCell ref="A25:B25"/>
    <mergeCell ref="A11:B12"/>
    <mergeCell ref="A1:J1"/>
    <mergeCell ref="A6:J6"/>
    <mergeCell ref="A2:H2"/>
    <mergeCell ref="A3:J3"/>
    <mergeCell ref="A5:J5"/>
    <mergeCell ref="A8:I8"/>
  </mergeCells>
  <phoneticPr fontId="6" type="noConversion"/>
  <pageMargins left="0.78740157499999996" right="0.78740157499999996" top="0.984251969" bottom="0.984251969" header="0.49212598499999999" footer="0.49212598499999999"/>
  <pageSetup paperSize="9" scale="75" orientation="landscape" verticalDpi="0" r:id="rId1"/>
  <headerFooter alignWithMargins="0">
    <oddHeader>&amp;L&amp;12ESTADO DO RIO GRANDE DO SUL
PREFEITURA MUNICIPAL DE BOA VISTA DO CADEADO</oddHeader>
  </headerFooter>
</worksheet>
</file>

<file path=xl/worksheets/sheet10.xml><?xml version="1.0" encoding="utf-8"?>
<worksheet xmlns="http://schemas.openxmlformats.org/spreadsheetml/2006/main" xmlns:r="http://schemas.openxmlformats.org/officeDocument/2006/relationships">
  <sheetPr codeName="Plan23"/>
  <dimension ref="A1:H43"/>
  <sheetViews>
    <sheetView view="pageBreakPreview" topLeftCell="A16" zoomScale="60" zoomScaleNormal="100" workbookViewId="0">
      <selection activeCell="A2" sqref="A2:J2"/>
    </sheetView>
  </sheetViews>
  <sheetFormatPr defaultRowHeight="11.25" customHeight="1"/>
  <cols>
    <col min="1" max="1" width="52.42578125" style="106" customWidth="1"/>
    <col min="2" max="2" width="17.5703125" style="106" customWidth="1"/>
    <col min="3" max="3" width="17.7109375" style="106" customWidth="1"/>
    <col min="4" max="4" width="18.85546875" style="106" customWidth="1"/>
    <col min="5" max="16384" width="9.140625" style="106"/>
  </cols>
  <sheetData>
    <row r="1" spans="1:8" ht="11.25" customHeight="1">
      <c r="A1" s="2"/>
      <c r="B1" s="2"/>
      <c r="C1" s="2"/>
      <c r="D1" s="2"/>
    </row>
    <row r="2" spans="1:8" ht="11.25" customHeight="1">
      <c r="A2" s="7"/>
      <c r="B2" s="8"/>
      <c r="C2" s="8"/>
      <c r="D2" s="9"/>
    </row>
    <row r="3" spans="1:8" ht="11.25" customHeight="1">
      <c r="A3" s="7"/>
      <c r="B3" s="8"/>
      <c r="C3" s="8"/>
      <c r="D3" s="9"/>
    </row>
    <row r="4" spans="1:8" ht="11.25" customHeight="1">
      <c r="A4" s="552" t="s">
        <v>81</v>
      </c>
      <c r="B4" s="553"/>
      <c r="C4" s="553"/>
      <c r="D4" s="553"/>
      <c r="E4" s="553"/>
      <c r="F4" s="553"/>
      <c r="G4" s="326"/>
      <c r="H4" s="326"/>
    </row>
    <row r="5" spans="1:8" ht="11.25" customHeight="1">
      <c r="A5" s="552" t="s">
        <v>82</v>
      </c>
      <c r="B5" s="553"/>
      <c r="C5" s="553"/>
      <c r="D5" s="553"/>
      <c r="E5" s="553"/>
      <c r="F5" s="553"/>
      <c r="G5" s="326"/>
      <c r="H5" s="326"/>
    </row>
    <row r="6" spans="1:8" ht="11.25" customHeight="1">
      <c r="A6" s="552" t="s">
        <v>262</v>
      </c>
      <c r="B6" s="553"/>
      <c r="C6" s="553"/>
      <c r="D6" s="553"/>
      <c r="E6" s="553"/>
      <c r="F6" s="553"/>
      <c r="G6" s="326"/>
      <c r="H6" s="326"/>
    </row>
    <row r="7" spans="1:8" ht="11.25" customHeight="1">
      <c r="A7" s="552" t="s">
        <v>263</v>
      </c>
      <c r="B7" s="553"/>
      <c r="C7" s="553"/>
      <c r="D7" s="553"/>
      <c r="E7" s="553"/>
      <c r="F7" s="553"/>
      <c r="G7" s="326"/>
      <c r="H7" s="326"/>
    </row>
    <row r="8" spans="1:8" ht="11.25" customHeight="1">
      <c r="A8" s="566">
        <v>2010</v>
      </c>
      <c r="B8" s="553"/>
      <c r="C8" s="553"/>
      <c r="D8" s="553"/>
      <c r="E8" s="553"/>
      <c r="F8" s="553"/>
      <c r="G8" s="326"/>
      <c r="H8" s="326"/>
    </row>
    <row r="9" spans="1:8" ht="11.25" customHeight="1">
      <c r="A9" s="7"/>
      <c r="B9" s="8"/>
      <c r="C9" s="8"/>
      <c r="D9" s="9"/>
    </row>
    <row r="10" spans="1:8" ht="11.25" customHeight="1">
      <c r="A10" s="66" t="s">
        <v>30</v>
      </c>
      <c r="B10" s="66"/>
      <c r="C10" s="66"/>
      <c r="D10" s="67">
        <v>1</v>
      </c>
    </row>
    <row r="11" spans="1:8" ht="11.25" customHeight="1">
      <c r="A11" s="571" t="s">
        <v>56</v>
      </c>
      <c r="B11" s="569" t="s">
        <v>264</v>
      </c>
      <c r="C11" s="569" t="s">
        <v>266</v>
      </c>
      <c r="D11" s="382">
        <v>2006</v>
      </c>
    </row>
    <row r="12" spans="1:8" ht="15.75" customHeight="1">
      <c r="A12" s="572"/>
      <c r="B12" s="570"/>
      <c r="C12" s="570"/>
      <c r="D12" s="383" t="s">
        <v>265</v>
      </c>
    </row>
    <row r="13" spans="1:8" ht="12.6" customHeight="1">
      <c r="A13" s="384" t="s">
        <v>272</v>
      </c>
      <c r="B13" s="385"/>
      <c r="C13" s="385"/>
      <c r="D13" s="386"/>
    </row>
    <row r="14" spans="1:8" ht="11.25" customHeight="1">
      <c r="A14" s="384" t="s">
        <v>70</v>
      </c>
      <c r="B14" s="387"/>
      <c r="C14" s="387">
        <v>51620</v>
      </c>
      <c r="D14" s="388"/>
    </row>
    <row r="15" spans="1:8" ht="12.6" customHeight="1">
      <c r="A15" s="389" t="s">
        <v>71</v>
      </c>
      <c r="B15" s="390"/>
      <c r="C15" s="390"/>
      <c r="D15" s="391"/>
    </row>
    <row r="16" spans="1:8" ht="11.25" customHeight="1">
      <c r="A16" s="389" t="s">
        <v>76</v>
      </c>
      <c r="B16" s="392"/>
      <c r="C16" s="392"/>
      <c r="D16" s="393"/>
    </row>
    <row r="17" spans="1:4" ht="11.25" customHeight="1">
      <c r="A17" s="567"/>
      <c r="B17" s="567"/>
      <c r="C17" s="567"/>
      <c r="D17" s="567"/>
    </row>
    <row r="18" spans="1:4" ht="11.25" customHeight="1">
      <c r="A18" s="516" t="s">
        <v>273</v>
      </c>
      <c r="B18" s="381">
        <v>2008</v>
      </c>
      <c r="C18" s="381">
        <v>2007</v>
      </c>
      <c r="D18" s="394">
        <v>2006</v>
      </c>
    </row>
    <row r="19" spans="1:4" ht="15.75" customHeight="1">
      <c r="A19" s="518"/>
      <c r="B19" s="395" t="s">
        <v>267</v>
      </c>
      <c r="C19" s="396" t="s">
        <v>72</v>
      </c>
      <c r="D19" s="397" t="s">
        <v>268</v>
      </c>
    </row>
    <row r="20" spans="1:4" ht="13.9" customHeight="1">
      <c r="A20" s="398" t="s">
        <v>274</v>
      </c>
      <c r="B20" s="384"/>
      <c r="C20" s="384"/>
      <c r="D20" s="399"/>
    </row>
    <row r="21" spans="1:4" ht="11.25" customHeight="1">
      <c r="A21" s="384" t="s">
        <v>108</v>
      </c>
      <c r="B21" s="384"/>
      <c r="C21" s="384"/>
      <c r="D21" s="399"/>
    </row>
    <row r="22" spans="1:4" ht="11.25" customHeight="1">
      <c r="A22" s="384" t="s">
        <v>109</v>
      </c>
      <c r="B22" s="384"/>
      <c r="C22" s="407">
        <v>51620</v>
      </c>
      <c r="D22" s="399"/>
    </row>
    <row r="23" spans="1:4" ht="11.25" customHeight="1">
      <c r="A23" s="384" t="s">
        <v>110</v>
      </c>
      <c r="B23" s="384"/>
      <c r="C23" s="384"/>
      <c r="D23" s="399"/>
    </row>
    <row r="24" spans="1:4" ht="11.25" customHeight="1">
      <c r="A24" s="384" t="s">
        <v>10</v>
      </c>
      <c r="B24" s="384"/>
      <c r="C24" s="384"/>
      <c r="D24" s="399"/>
    </row>
    <row r="25" spans="1:4" ht="11.25" customHeight="1">
      <c r="A25" s="384" t="s">
        <v>111</v>
      </c>
      <c r="B25" s="384"/>
      <c r="C25" s="384"/>
      <c r="D25" s="399"/>
    </row>
    <row r="26" spans="1:4" ht="11.25" customHeight="1">
      <c r="A26" s="384" t="s">
        <v>112</v>
      </c>
      <c r="B26" s="384"/>
      <c r="C26" s="384"/>
      <c r="D26" s="399"/>
    </row>
    <row r="27" spans="1:4" ht="12.6" customHeight="1">
      <c r="A27" s="389" t="s">
        <v>93</v>
      </c>
      <c r="B27" s="389"/>
      <c r="C27" s="389"/>
      <c r="D27" s="400"/>
    </row>
    <row r="28" spans="1:4" ht="11.25" customHeight="1" thickBot="1">
      <c r="A28" s="401" t="s">
        <v>6</v>
      </c>
      <c r="B28" s="401"/>
      <c r="C28" s="401"/>
      <c r="D28" s="402"/>
    </row>
    <row r="29" spans="1:4" ht="11.25" customHeight="1" thickBot="1">
      <c r="A29" s="403" t="s">
        <v>7</v>
      </c>
      <c r="B29" s="404" t="s">
        <v>269</v>
      </c>
      <c r="C29" s="405" t="s">
        <v>270</v>
      </c>
      <c r="D29" s="405" t="s">
        <v>271</v>
      </c>
    </row>
    <row r="30" spans="1:4" ht="11.25" customHeight="1" thickBot="1">
      <c r="A30" s="403" t="s">
        <v>275</v>
      </c>
      <c r="B30" s="406"/>
      <c r="C30" s="406"/>
      <c r="D30" s="406"/>
    </row>
    <row r="31" spans="1:4" ht="11.25" customHeight="1">
      <c r="A31" s="564" t="s">
        <v>440</v>
      </c>
      <c r="B31" s="564"/>
      <c r="C31" s="564"/>
      <c r="D31" s="564"/>
    </row>
    <row r="33" spans="1:7" ht="11.25" customHeight="1">
      <c r="A33" s="568" t="s">
        <v>449</v>
      </c>
      <c r="B33" s="568"/>
      <c r="C33" s="568"/>
      <c r="D33" s="568"/>
    </row>
    <row r="34" spans="1:7" ht="11.25" customHeight="1">
      <c r="A34" s="568"/>
      <c r="B34" s="568"/>
      <c r="C34" s="568"/>
      <c r="D34" s="568"/>
    </row>
    <row r="36" spans="1:7" ht="11.25" customHeight="1">
      <c r="A36" s="185" t="s">
        <v>430</v>
      </c>
      <c r="B36" s="185"/>
      <c r="C36" s="365"/>
      <c r="D36" s="186"/>
      <c r="E36" s="183"/>
      <c r="F36" s="183"/>
      <c r="G36" s="183"/>
    </row>
    <row r="37" spans="1:7" ht="11.25" customHeight="1">
      <c r="A37" s="185"/>
      <c r="B37" s="185"/>
      <c r="C37" s="365"/>
      <c r="D37" s="187"/>
      <c r="E37" s="183"/>
      <c r="F37" s="183"/>
      <c r="G37" s="183"/>
    </row>
    <row r="38" spans="1:7" ht="11.25" customHeight="1">
      <c r="A38" s="185"/>
      <c r="B38" s="185"/>
      <c r="C38" s="365"/>
      <c r="D38" s="187"/>
      <c r="E38" s="183"/>
      <c r="F38" s="183"/>
      <c r="G38" s="183"/>
    </row>
    <row r="39" spans="1:7" ht="11.25" customHeight="1">
      <c r="A39" s="185"/>
      <c r="B39" s="185"/>
      <c r="C39" s="365"/>
      <c r="D39" s="187"/>
      <c r="E39" s="183"/>
      <c r="F39" s="183"/>
      <c r="G39" s="183"/>
    </row>
    <row r="40" spans="1:7" ht="11.25" customHeight="1">
      <c r="A40" s="187" t="s">
        <v>444</v>
      </c>
      <c r="B40" s="186"/>
      <c r="C40" s="186" t="s">
        <v>431</v>
      </c>
      <c r="D40" s="183"/>
    </row>
    <row r="41" spans="1:7" ht="11.25" customHeight="1">
      <c r="A41" s="185" t="s">
        <v>445</v>
      </c>
      <c r="B41" s="188"/>
      <c r="C41" s="188" t="s">
        <v>429</v>
      </c>
      <c r="D41" s="183"/>
    </row>
    <row r="42" spans="1:7" ht="11.25" customHeight="1">
      <c r="A42" s="1"/>
      <c r="B42" s="1"/>
      <c r="C42" s="1"/>
      <c r="D42" s="1"/>
      <c r="E42" s="1"/>
      <c r="F42" s="1"/>
      <c r="G42" s="1"/>
    </row>
    <row r="43" spans="1:7" ht="11.25" customHeight="1">
      <c r="A43" s="1"/>
      <c r="B43" s="1"/>
      <c r="C43" s="1"/>
      <c r="D43" s="1"/>
      <c r="E43" s="1"/>
      <c r="F43" s="1"/>
      <c r="G43" s="1"/>
    </row>
  </sheetData>
  <mergeCells count="12">
    <mergeCell ref="A17:D17"/>
    <mergeCell ref="A33:D34"/>
    <mergeCell ref="A31:D31"/>
    <mergeCell ref="A18:A19"/>
    <mergeCell ref="B11:B12"/>
    <mergeCell ref="C11:C12"/>
    <mergeCell ref="A11:A12"/>
    <mergeCell ref="A6:F6"/>
    <mergeCell ref="A4:F4"/>
    <mergeCell ref="A5:F5"/>
    <mergeCell ref="A7:F7"/>
    <mergeCell ref="A8:F8"/>
  </mergeCells>
  <phoneticPr fontId="6" type="noConversion"/>
  <pageMargins left="1.32" right="0.78740157499999996" top="0.984251969" bottom="0.984251969" header="0.49212598499999999" footer="0.49212598499999999"/>
  <pageSetup paperSize="9" scale="75" orientation="landscape" verticalDpi="1200" r:id="rId1"/>
  <headerFooter alignWithMargins="0">
    <oddHeader>&amp;LESTADO DO RIO GRANDE DO SUL
PREFEITURA MUNICIPAL DE BOA VISTA DO CADEADO</oddHeader>
  </headerFooter>
</worksheet>
</file>

<file path=xl/worksheets/sheet11.xml><?xml version="1.0" encoding="utf-8"?>
<worksheet xmlns="http://schemas.openxmlformats.org/spreadsheetml/2006/main" xmlns:r="http://schemas.openxmlformats.org/officeDocument/2006/relationships">
  <sheetPr codeName="Plan24"/>
  <dimension ref="A1:K119"/>
  <sheetViews>
    <sheetView view="pageBreakPreview" topLeftCell="A58" zoomScale="60" zoomScaleNormal="100" workbookViewId="0">
      <selection activeCell="A2" sqref="A2:J2"/>
    </sheetView>
  </sheetViews>
  <sheetFormatPr defaultRowHeight="11.25" customHeight="1"/>
  <cols>
    <col min="1" max="1" width="1.42578125" style="5" customWidth="1"/>
    <col min="2" max="2" width="12.85546875" style="5" customWidth="1"/>
    <col min="3" max="3" width="9.85546875" style="5" customWidth="1"/>
    <col min="4" max="4" width="10.140625" style="5" customWidth="1"/>
    <col min="5" max="5" width="24.42578125" style="5" customWidth="1"/>
    <col min="6" max="6" width="9.7109375" style="5" customWidth="1"/>
    <col min="7" max="7" width="10.42578125" style="5" customWidth="1"/>
    <col min="8" max="8" width="7.42578125" style="5" customWidth="1"/>
    <col min="9" max="9" width="12.85546875" style="5" hidden="1" customWidth="1"/>
    <col min="10" max="10" width="7" style="5" customWidth="1"/>
    <col min="11" max="16384" width="9.140625" style="5"/>
  </cols>
  <sheetData>
    <row r="1" spans="1:10" ht="11.25" customHeight="1">
      <c r="B1" s="614" t="s">
        <v>81</v>
      </c>
      <c r="C1" s="614"/>
      <c r="D1" s="614"/>
      <c r="E1" s="614"/>
      <c r="F1" s="614"/>
      <c r="G1" s="614"/>
      <c r="H1" s="614"/>
      <c r="I1" s="614"/>
      <c r="J1" s="614"/>
    </row>
    <row r="2" spans="1:10" ht="11.25" customHeight="1">
      <c r="B2" s="614" t="s">
        <v>82</v>
      </c>
      <c r="C2" s="614"/>
      <c r="D2" s="614"/>
      <c r="E2" s="614"/>
      <c r="F2" s="614"/>
      <c r="G2" s="614"/>
      <c r="H2" s="614"/>
      <c r="I2" s="614"/>
      <c r="J2" s="614"/>
    </row>
    <row r="3" spans="1:10" ht="11.25" customHeight="1">
      <c r="B3" s="614" t="s">
        <v>23</v>
      </c>
      <c r="C3" s="614"/>
      <c r="D3" s="614"/>
      <c r="E3" s="614"/>
      <c r="F3" s="614"/>
      <c r="G3" s="614"/>
      <c r="H3" s="614"/>
      <c r="I3" s="614"/>
      <c r="J3" s="614"/>
    </row>
    <row r="4" spans="1:10" ht="11.25" customHeight="1">
      <c r="B4" s="614" t="s">
        <v>34</v>
      </c>
      <c r="C4" s="614"/>
      <c r="D4" s="614"/>
      <c r="E4" s="614"/>
      <c r="F4" s="614"/>
      <c r="G4" s="614"/>
      <c r="H4" s="614"/>
      <c r="I4" s="614"/>
      <c r="J4" s="614"/>
    </row>
    <row r="5" spans="1:10" ht="11.25" customHeight="1">
      <c r="B5" s="614" t="s">
        <v>113</v>
      </c>
      <c r="C5" s="614"/>
      <c r="D5" s="614"/>
      <c r="E5" s="614"/>
      <c r="F5" s="614"/>
      <c r="G5" s="614"/>
      <c r="H5" s="614"/>
      <c r="I5" s="614"/>
      <c r="J5" s="614"/>
    </row>
    <row r="6" spans="1:10" ht="11.25" customHeight="1">
      <c r="B6" s="613">
        <v>2010</v>
      </c>
      <c r="C6" s="614"/>
      <c r="D6" s="614"/>
      <c r="E6" s="614"/>
      <c r="F6" s="614"/>
      <c r="G6" s="614"/>
      <c r="H6" s="614"/>
      <c r="I6" s="614"/>
      <c r="J6" s="614"/>
    </row>
    <row r="7" spans="1:10" ht="11.25" customHeight="1">
      <c r="B7" s="575"/>
      <c r="C7" s="575"/>
      <c r="D7" s="575"/>
      <c r="E7" s="575"/>
      <c r="F7" s="575"/>
      <c r="G7" s="575"/>
      <c r="H7" s="575"/>
    </row>
    <row r="8" spans="1:10" ht="13.9" customHeight="1">
      <c r="B8" s="616" t="s">
        <v>33</v>
      </c>
      <c r="C8" s="616"/>
      <c r="D8" s="616"/>
      <c r="E8" s="617"/>
      <c r="F8" s="66"/>
      <c r="G8" s="66"/>
      <c r="H8" s="67">
        <v>1</v>
      </c>
    </row>
    <row r="9" spans="1:10" ht="11.25" customHeight="1">
      <c r="B9" s="578" t="s">
        <v>126</v>
      </c>
      <c r="C9" s="579"/>
      <c r="D9" s="579"/>
      <c r="E9" s="580"/>
      <c r="F9" s="583">
        <v>2006</v>
      </c>
      <c r="G9" s="583">
        <v>2007</v>
      </c>
      <c r="H9" s="585">
        <v>2008</v>
      </c>
    </row>
    <row r="10" spans="1:10" s="6" customFormat="1" ht="11.25" customHeight="1">
      <c r="B10" s="581"/>
      <c r="C10" s="581"/>
      <c r="D10" s="581"/>
      <c r="E10" s="582"/>
      <c r="F10" s="584"/>
      <c r="G10" s="584"/>
      <c r="H10" s="581"/>
    </row>
    <row r="11" spans="1:10" ht="11.25" customHeight="1">
      <c r="B11" s="78" t="s">
        <v>276</v>
      </c>
      <c r="C11" s="72"/>
      <c r="D11" s="72"/>
      <c r="E11" s="72"/>
      <c r="F11" s="16"/>
      <c r="G11" s="16"/>
      <c r="H11" s="71"/>
    </row>
    <row r="12" spans="1:10" ht="11.25" customHeight="1">
      <c r="A12" s="10"/>
      <c r="B12" s="588" t="s">
        <v>277</v>
      </c>
      <c r="C12" s="589"/>
      <c r="D12" s="589"/>
      <c r="E12" s="589"/>
      <c r="F12" s="16"/>
      <c r="G12" s="16"/>
      <c r="H12" s="71"/>
    </row>
    <row r="13" spans="1:10" ht="11.25" customHeight="1">
      <c r="A13" s="10"/>
      <c r="B13" s="588" t="s">
        <v>278</v>
      </c>
      <c r="C13" s="589"/>
      <c r="D13" s="589"/>
      <c r="E13" s="589"/>
      <c r="F13" s="16"/>
      <c r="G13" s="16"/>
      <c r="H13" s="71"/>
    </row>
    <row r="14" spans="1:10" ht="11.25" customHeight="1">
      <c r="A14" s="10"/>
      <c r="B14" s="588" t="s">
        <v>279</v>
      </c>
      <c r="C14" s="589"/>
      <c r="D14" s="589"/>
      <c r="E14" s="589"/>
      <c r="F14" s="16"/>
      <c r="G14" s="16"/>
      <c r="H14" s="71"/>
    </row>
    <row r="15" spans="1:10" ht="11.25" customHeight="1">
      <c r="A15" s="10"/>
      <c r="B15" s="588" t="s">
        <v>280</v>
      </c>
      <c r="C15" s="589"/>
      <c r="D15" s="589"/>
      <c r="E15" s="589"/>
      <c r="F15" s="16"/>
      <c r="G15" s="16"/>
      <c r="H15" s="71"/>
    </row>
    <row r="16" spans="1:10" ht="11.25" customHeight="1">
      <c r="A16" s="10"/>
      <c r="B16" s="78" t="s">
        <v>281</v>
      </c>
      <c r="C16" s="618"/>
      <c r="D16" s="618"/>
      <c r="E16" s="618"/>
      <c r="F16" s="16"/>
      <c r="G16" s="16"/>
      <c r="H16" s="71"/>
    </row>
    <row r="17" spans="1:8" ht="11.25" customHeight="1">
      <c r="A17" s="10"/>
      <c r="B17" s="588" t="s">
        <v>282</v>
      </c>
      <c r="C17" s="589"/>
      <c r="D17" s="589"/>
      <c r="E17" s="589"/>
      <c r="F17" s="16"/>
      <c r="G17" s="16"/>
      <c r="H17" s="71"/>
    </row>
    <row r="18" spans="1:8" ht="11.25" customHeight="1">
      <c r="A18" s="10"/>
      <c r="B18" s="588" t="s">
        <v>283</v>
      </c>
      <c r="C18" s="589"/>
      <c r="D18" s="589"/>
      <c r="E18" s="589"/>
      <c r="F18" s="16"/>
      <c r="G18" s="16"/>
      <c r="H18" s="71"/>
    </row>
    <row r="19" spans="1:8" ht="11.25" customHeight="1">
      <c r="A19" s="10"/>
      <c r="B19" s="588" t="s">
        <v>284</v>
      </c>
      <c r="C19" s="589"/>
      <c r="D19" s="589"/>
      <c r="E19" s="589"/>
      <c r="F19" s="16"/>
      <c r="G19" s="16"/>
      <c r="H19" s="71"/>
    </row>
    <row r="20" spans="1:8" ht="11.25" customHeight="1">
      <c r="A20" s="10"/>
      <c r="B20" s="599" t="s">
        <v>285</v>
      </c>
      <c r="C20" s="615"/>
      <c r="D20" s="615"/>
      <c r="E20" s="615"/>
      <c r="F20" s="16"/>
      <c r="G20" s="16"/>
      <c r="H20" s="71"/>
    </row>
    <row r="21" spans="1:8" ht="11.25" customHeight="1">
      <c r="A21" s="10"/>
      <c r="B21" s="588" t="s">
        <v>286</v>
      </c>
      <c r="C21" s="589"/>
      <c r="D21" s="589"/>
      <c r="E21" s="589"/>
      <c r="F21" s="16"/>
      <c r="G21" s="16"/>
      <c r="H21" s="71"/>
    </row>
    <row r="22" spans="1:8" ht="11.25" customHeight="1">
      <c r="A22" s="10"/>
      <c r="B22" s="588" t="s">
        <v>287</v>
      </c>
      <c r="C22" s="589"/>
      <c r="D22" s="589"/>
      <c r="E22" s="589"/>
      <c r="F22" s="16"/>
      <c r="G22" s="16"/>
      <c r="H22" s="71"/>
    </row>
    <row r="23" spans="1:8" ht="11.25" customHeight="1">
      <c r="A23" s="10"/>
      <c r="B23" s="588" t="s">
        <v>288</v>
      </c>
      <c r="C23" s="589"/>
      <c r="D23" s="589"/>
      <c r="E23" s="589"/>
      <c r="F23" s="16"/>
      <c r="G23" s="16"/>
      <c r="H23" s="71"/>
    </row>
    <row r="24" spans="1:8" ht="11.25" customHeight="1">
      <c r="A24" s="10"/>
      <c r="B24" s="78" t="s">
        <v>289</v>
      </c>
      <c r="C24" s="618"/>
      <c r="D24" s="618"/>
      <c r="E24" s="618"/>
      <c r="F24" s="16"/>
      <c r="G24" s="16"/>
      <c r="H24" s="71"/>
    </row>
    <row r="25" spans="1:8" ht="11.25" customHeight="1">
      <c r="A25" s="10"/>
      <c r="B25" s="588" t="s">
        <v>290</v>
      </c>
      <c r="C25" s="589"/>
      <c r="D25" s="589"/>
      <c r="E25" s="589"/>
      <c r="F25" s="16"/>
      <c r="G25" s="16"/>
      <c r="H25" s="71"/>
    </row>
    <row r="26" spans="1:8" ht="11.25" customHeight="1">
      <c r="A26" s="10"/>
      <c r="B26" s="78" t="s">
        <v>291</v>
      </c>
      <c r="C26" s="618"/>
      <c r="D26" s="618"/>
      <c r="E26" s="618"/>
      <c r="F26" s="16"/>
      <c r="G26" s="16"/>
      <c r="H26" s="71"/>
    </row>
    <row r="27" spans="1:8" ht="11.25" customHeight="1">
      <c r="A27" s="10"/>
      <c r="B27" s="78" t="s">
        <v>292</v>
      </c>
      <c r="C27" s="73"/>
      <c r="D27" s="73"/>
      <c r="E27" s="73"/>
      <c r="F27" s="16"/>
      <c r="G27" s="16"/>
      <c r="H27" s="71"/>
    </row>
    <row r="28" spans="1:8" ht="11.25" customHeight="1">
      <c r="A28" s="10"/>
      <c r="B28" s="588" t="s">
        <v>277</v>
      </c>
      <c r="C28" s="589"/>
      <c r="D28" s="589"/>
      <c r="E28" s="589"/>
      <c r="F28" s="16"/>
      <c r="G28" s="16"/>
      <c r="H28" s="71"/>
    </row>
    <row r="29" spans="1:8" ht="11.25" customHeight="1">
      <c r="A29" s="10"/>
      <c r="B29" s="588" t="s">
        <v>293</v>
      </c>
      <c r="C29" s="589"/>
      <c r="D29" s="589"/>
      <c r="E29" s="589"/>
      <c r="F29" s="16"/>
      <c r="G29" s="16"/>
      <c r="H29" s="71"/>
    </row>
    <row r="30" spans="1:8" ht="11.25" customHeight="1">
      <c r="A30" s="10"/>
      <c r="B30" s="588" t="s">
        <v>294</v>
      </c>
      <c r="C30" s="589"/>
      <c r="D30" s="589"/>
      <c r="E30" s="589"/>
      <c r="F30" s="16"/>
      <c r="G30" s="16"/>
      <c r="H30" s="71"/>
    </row>
    <row r="31" spans="1:8" ht="11.25" customHeight="1">
      <c r="A31" s="10"/>
      <c r="B31" s="588" t="s">
        <v>295</v>
      </c>
      <c r="C31" s="589"/>
      <c r="D31" s="589"/>
      <c r="E31" s="589"/>
      <c r="F31" s="16"/>
      <c r="G31" s="16"/>
      <c r="H31" s="71"/>
    </row>
    <row r="32" spans="1:8" ht="11.25" customHeight="1">
      <c r="A32" s="10"/>
      <c r="B32" s="588" t="s">
        <v>296</v>
      </c>
      <c r="C32" s="589"/>
      <c r="D32" s="589"/>
      <c r="E32" s="589"/>
      <c r="F32" s="16"/>
      <c r="G32" s="16"/>
      <c r="H32" s="71"/>
    </row>
    <row r="33" spans="1:10" ht="11.25" customHeight="1">
      <c r="A33" s="10"/>
      <c r="B33" s="588" t="s">
        <v>297</v>
      </c>
      <c r="C33" s="589"/>
      <c r="D33" s="589"/>
      <c r="E33" s="589"/>
      <c r="F33" s="16"/>
      <c r="G33" s="16"/>
      <c r="H33" s="71"/>
    </row>
    <row r="34" spans="1:10" ht="11.25" customHeight="1">
      <c r="A34" s="10"/>
      <c r="B34" s="588" t="s">
        <v>298</v>
      </c>
      <c r="C34" s="589"/>
      <c r="D34" s="589"/>
      <c r="E34" s="589"/>
      <c r="F34" s="16"/>
      <c r="G34" s="16"/>
      <c r="H34" s="71"/>
      <c r="I34" s="10"/>
    </row>
    <row r="35" spans="1:10" ht="11.25" customHeight="1">
      <c r="A35" s="10"/>
      <c r="B35" s="588" t="s">
        <v>282</v>
      </c>
      <c r="C35" s="589"/>
      <c r="D35" s="589"/>
      <c r="E35" s="589"/>
      <c r="F35" s="16"/>
      <c r="G35" s="16"/>
      <c r="H35" s="71"/>
      <c r="I35" s="10"/>
      <c r="J35" s="10"/>
    </row>
    <row r="36" spans="1:10" ht="11.25" customHeight="1">
      <c r="A36" s="10"/>
      <c r="B36" s="599" t="s">
        <v>283</v>
      </c>
      <c r="C36" s="600"/>
      <c r="D36" s="600"/>
      <c r="E36" s="600"/>
      <c r="F36" s="16"/>
      <c r="G36" s="16"/>
      <c r="H36" s="71"/>
    </row>
    <row r="37" spans="1:10" ht="11.25" customHeight="1">
      <c r="A37" s="10"/>
      <c r="B37" s="588" t="s">
        <v>284</v>
      </c>
      <c r="C37" s="589"/>
      <c r="D37" s="589"/>
      <c r="E37" s="589"/>
      <c r="F37" s="16"/>
      <c r="G37" s="16"/>
      <c r="H37" s="71"/>
    </row>
    <row r="38" spans="1:10" ht="11.25" customHeight="1">
      <c r="A38" s="10"/>
      <c r="B38" s="588" t="s">
        <v>287</v>
      </c>
      <c r="C38" s="589"/>
      <c r="D38" s="589"/>
      <c r="E38" s="589"/>
      <c r="F38" s="16"/>
      <c r="G38" s="16"/>
      <c r="H38" s="71"/>
    </row>
    <row r="39" spans="1:10" ht="11.25" customHeight="1">
      <c r="A39" s="10"/>
      <c r="B39" s="588" t="s">
        <v>291</v>
      </c>
      <c r="C39" s="589"/>
      <c r="D39" s="589"/>
      <c r="E39" s="589"/>
      <c r="F39" s="16"/>
      <c r="G39" s="16"/>
      <c r="H39" s="71"/>
    </row>
    <row r="40" spans="1:10" ht="11.25" customHeight="1">
      <c r="A40" s="10"/>
      <c r="B40" s="601" t="s">
        <v>299</v>
      </c>
      <c r="C40" s="602"/>
      <c r="D40" s="602"/>
      <c r="E40" s="602"/>
      <c r="F40" s="17"/>
      <c r="G40" s="18"/>
      <c r="H40" s="18"/>
      <c r="I40" s="10"/>
    </row>
    <row r="41" spans="1:10" ht="11.25" customHeight="1">
      <c r="A41" s="10"/>
      <c r="B41" s="78" t="s">
        <v>300</v>
      </c>
      <c r="C41" s="72"/>
      <c r="D41" s="72"/>
      <c r="E41" s="72"/>
      <c r="F41" s="74"/>
      <c r="G41" s="74"/>
      <c r="H41" s="76"/>
    </row>
    <row r="42" spans="1:10" s="6" customFormat="1" ht="11.25" customHeight="1">
      <c r="A42" s="79"/>
      <c r="B42" s="588" t="s">
        <v>301</v>
      </c>
      <c r="C42" s="589"/>
      <c r="D42" s="589"/>
      <c r="E42" s="589"/>
      <c r="F42" s="75"/>
      <c r="G42" s="75"/>
      <c r="H42" s="77"/>
    </row>
    <row r="43" spans="1:10" ht="11.25" customHeight="1">
      <c r="A43" s="10"/>
      <c r="B43" s="588" t="s">
        <v>302</v>
      </c>
      <c r="C43" s="589"/>
      <c r="D43" s="589"/>
      <c r="E43" s="589"/>
      <c r="F43" s="16"/>
      <c r="G43" s="16"/>
      <c r="H43" s="71"/>
    </row>
    <row r="44" spans="1:10" ht="11.25" customHeight="1">
      <c r="A44" s="10"/>
      <c r="B44" s="588" t="s">
        <v>303</v>
      </c>
      <c r="C44" s="589"/>
      <c r="D44" s="589"/>
      <c r="E44" s="589"/>
      <c r="F44" s="16"/>
      <c r="G44" s="16"/>
      <c r="H44" s="71"/>
    </row>
    <row r="45" spans="1:10" ht="11.25" customHeight="1">
      <c r="A45" s="10"/>
      <c r="B45" s="588" t="s">
        <v>304</v>
      </c>
      <c r="C45" s="589"/>
      <c r="D45" s="589"/>
      <c r="E45" s="589"/>
      <c r="F45" s="16"/>
      <c r="G45" s="16"/>
      <c r="H45" s="71"/>
    </row>
    <row r="46" spans="1:10" ht="11.25" customHeight="1">
      <c r="A46" s="10"/>
      <c r="B46" s="588" t="s">
        <v>305</v>
      </c>
      <c r="C46" s="589"/>
      <c r="D46" s="589"/>
      <c r="E46" s="589"/>
      <c r="F46" s="16"/>
      <c r="G46" s="16"/>
      <c r="H46" s="71"/>
    </row>
    <row r="47" spans="1:10" ht="11.25" customHeight="1">
      <c r="A47" s="10"/>
      <c r="B47" s="588" t="s">
        <v>306</v>
      </c>
      <c r="C47" s="589"/>
      <c r="D47" s="589"/>
      <c r="E47" s="589"/>
      <c r="F47" s="16"/>
      <c r="G47" s="16"/>
      <c r="H47" s="71"/>
    </row>
    <row r="48" spans="1:10" ht="11.25" customHeight="1">
      <c r="A48" s="10"/>
      <c r="B48" s="588" t="s">
        <v>307</v>
      </c>
      <c r="C48" s="589"/>
      <c r="D48" s="589"/>
      <c r="E48" s="589"/>
      <c r="F48" s="16"/>
      <c r="G48" s="16"/>
      <c r="H48" s="71"/>
    </row>
    <row r="49" spans="1:9" ht="11.25" customHeight="1">
      <c r="A49" s="10"/>
      <c r="B49" s="588" t="s">
        <v>308</v>
      </c>
      <c r="C49" s="589"/>
      <c r="D49" s="589"/>
      <c r="E49" s="589"/>
      <c r="F49" s="16"/>
      <c r="G49" s="16"/>
      <c r="H49" s="71"/>
    </row>
    <row r="50" spans="1:9" ht="11.25" customHeight="1">
      <c r="A50" s="10"/>
      <c r="B50" s="588" t="s">
        <v>309</v>
      </c>
      <c r="C50" s="589"/>
      <c r="D50" s="589"/>
      <c r="E50" s="589"/>
      <c r="F50" s="16"/>
      <c r="G50" s="16"/>
      <c r="H50" s="71"/>
    </row>
    <row r="51" spans="1:9" ht="11.25" customHeight="1">
      <c r="A51" s="10"/>
      <c r="B51" s="78" t="s">
        <v>310</v>
      </c>
      <c r="C51" s="72"/>
      <c r="D51" s="72"/>
      <c r="E51" s="72"/>
      <c r="F51" s="16"/>
      <c r="G51" s="16"/>
      <c r="H51" s="71"/>
      <c r="I51" s="10"/>
    </row>
    <row r="52" spans="1:9" ht="11.25" customHeight="1">
      <c r="A52" s="10"/>
      <c r="B52" s="588" t="s">
        <v>301</v>
      </c>
      <c r="C52" s="589"/>
      <c r="D52" s="589"/>
      <c r="E52" s="589"/>
      <c r="F52" s="16"/>
      <c r="G52" s="16"/>
      <c r="H52" s="71"/>
    </row>
    <row r="53" spans="1:9" ht="11.25" customHeight="1">
      <c r="A53" s="10"/>
      <c r="B53" s="588" t="s">
        <v>302</v>
      </c>
      <c r="C53" s="589"/>
      <c r="D53" s="589"/>
      <c r="E53" s="589"/>
      <c r="F53" s="16"/>
      <c r="G53" s="16"/>
      <c r="H53" s="71"/>
    </row>
    <row r="54" spans="1:9" ht="11.25" customHeight="1">
      <c r="A54" s="10"/>
      <c r="B54" s="588" t="s">
        <v>303</v>
      </c>
      <c r="C54" s="589"/>
      <c r="D54" s="589"/>
      <c r="E54" s="589"/>
      <c r="F54" s="16"/>
      <c r="G54" s="16"/>
      <c r="H54" s="71"/>
    </row>
    <row r="55" spans="1:9" ht="11.25" customHeight="1">
      <c r="A55" s="10"/>
      <c r="B55" s="591" t="s">
        <v>311</v>
      </c>
      <c r="C55" s="592"/>
      <c r="D55" s="592"/>
      <c r="E55" s="592"/>
      <c r="F55" s="68"/>
      <c r="G55" s="68"/>
      <c r="H55" s="69"/>
      <c r="I55" s="10"/>
    </row>
    <row r="56" spans="1:9" ht="12.6" customHeight="1">
      <c r="A56" s="10"/>
      <c r="B56" s="608" t="s">
        <v>312</v>
      </c>
      <c r="C56" s="609"/>
      <c r="D56" s="609"/>
      <c r="E56" s="609"/>
      <c r="F56" s="68"/>
      <c r="G56" s="68"/>
      <c r="H56" s="69"/>
    </row>
    <row r="57" spans="1:9" ht="12" customHeight="1">
      <c r="A57" s="10"/>
      <c r="B57" s="577" t="s">
        <v>73</v>
      </c>
      <c r="C57" s="577"/>
      <c r="D57" s="577"/>
      <c r="E57" s="577"/>
      <c r="F57" s="577"/>
      <c r="G57" s="577"/>
      <c r="H57" s="577"/>
    </row>
    <row r="58" spans="1:9" ht="12" customHeight="1">
      <c r="A58" s="10"/>
      <c r="B58" s="15"/>
      <c r="C58" s="15"/>
      <c r="D58" s="15"/>
      <c r="E58" s="15"/>
      <c r="F58" s="15"/>
      <c r="G58" s="15"/>
      <c r="H58" s="15"/>
    </row>
    <row r="59" spans="1:9" ht="12" customHeight="1">
      <c r="A59" s="10"/>
      <c r="B59" s="15"/>
      <c r="C59" s="15"/>
      <c r="D59" s="15"/>
      <c r="E59" s="15"/>
      <c r="F59" s="15"/>
      <c r="G59" s="15"/>
      <c r="H59" s="15"/>
    </row>
    <row r="60" spans="1:9" ht="12" customHeight="1">
      <c r="A60" s="10"/>
      <c r="B60" s="15"/>
      <c r="C60" s="15"/>
      <c r="D60" s="15"/>
      <c r="E60" s="15"/>
      <c r="F60" s="15"/>
      <c r="G60" s="15"/>
      <c r="H60" s="15"/>
    </row>
    <row r="61" spans="1:9" ht="12" customHeight="1">
      <c r="A61" s="10"/>
      <c r="B61" s="15"/>
      <c r="C61" s="15"/>
      <c r="D61" s="15"/>
      <c r="E61" s="15"/>
      <c r="F61" s="15"/>
      <c r="G61" s="15"/>
      <c r="H61" s="15"/>
    </row>
    <row r="62" spans="1:9" ht="12" customHeight="1">
      <c r="A62" s="10"/>
      <c r="B62" s="15"/>
      <c r="C62" s="15"/>
      <c r="D62" s="15"/>
      <c r="E62" s="15"/>
      <c r="F62" s="15"/>
      <c r="G62" s="15"/>
      <c r="H62" s="15"/>
    </row>
    <row r="63" spans="1:9" ht="12" customHeight="1">
      <c r="A63" s="10"/>
      <c r="B63" s="15"/>
      <c r="C63" s="15"/>
      <c r="D63" s="15"/>
      <c r="E63" s="15"/>
      <c r="F63" s="15"/>
      <c r="G63" s="15"/>
      <c r="H63" s="15"/>
    </row>
    <row r="64" spans="1:9" ht="12" customHeight="1">
      <c r="A64" s="10"/>
      <c r="B64" s="15"/>
      <c r="C64" s="15"/>
      <c r="D64" s="15"/>
      <c r="E64" s="15"/>
      <c r="F64" s="15"/>
      <c r="G64" s="15"/>
      <c r="H64" s="15"/>
    </row>
    <row r="66" spans="1:8" ht="11.25" customHeight="1">
      <c r="A66" s="10"/>
      <c r="B66" s="623" t="s">
        <v>313</v>
      </c>
      <c r="C66" s="624"/>
      <c r="D66" s="624"/>
      <c r="E66" s="625"/>
      <c r="F66" s="628">
        <v>2006</v>
      </c>
      <c r="G66" s="628">
        <v>2007</v>
      </c>
      <c r="H66" s="619">
        <v>2008</v>
      </c>
    </row>
    <row r="67" spans="1:8" s="80" customFormat="1" ht="11.25" customHeight="1">
      <c r="B67" s="626"/>
      <c r="C67" s="626"/>
      <c r="D67" s="626"/>
      <c r="E67" s="627"/>
      <c r="F67" s="629"/>
      <c r="G67" s="629"/>
      <c r="H67" s="620"/>
    </row>
    <row r="68" spans="1:8" s="80" customFormat="1" ht="11.25" customHeight="1">
      <c r="B68" s="611" t="s">
        <v>314</v>
      </c>
      <c r="C68" s="611"/>
      <c r="D68" s="611"/>
      <c r="E68" s="612"/>
      <c r="F68" s="81"/>
      <c r="G68" s="81"/>
      <c r="H68" s="82"/>
    </row>
    <row r="69" spans="1:8" s="80" customFormat="1" ht="11.25" customHeight="1">
      <c r="B69" s="603" t="s">
        <v>315</v>
      </c>
      <c r="C69" s="603"/>
      <c r="D69" s="603"/>
      <c r="E69" s="604"/>
      <c r="F69" s="81"/>
      <c r="G69" s="81"/>
      <c r="H69" s="82"/>
    </row>
    <row r="70" spans="1:8" s="80" customFormat="1" ht="11.25" customHeight="1">
      <c r="B70" s="63" t="s">
        <v>316</v>
      </c>
      <c r="C70" s="64"/>
      <c r="D70" s="64"/>
      <c r="E70" s="65"/>
      <c r="F70" s="81"/>
      <c r="G70" s="81"/>
      <c r="H70" s="82"/>
    </row>
    <row r="71" spans="1:8" s="80" customFormat="1" ht="11.25" customHeight="1">
      <c r="B71" s="603" t="s">
        <v>317</v>
      </c>
      <c r="C71" s="603"/>
      <c r="D71" s="603"/>
      <c r="E71" s="604"/>
      <c r="F71" s="81"/>
      <c r="G71" s="81"/>
      <c r="H71" s="82"/>
    </row>
    <row r="72" spans="1:8" s="80" customFormat="1" ht="11.25" customHeight="1">
      <c r="B72" s="603" t="s">
        <v>318</v>
      </c>
      <c r="C72" s="603"/>
      <c r="D72" s="603"/>
      <c r="E72" s="604"/>
      <c r="F72" s="81"/>
      <c r="G72" s="81"/>
      <c r="H72" s="82"/>
    </row>
    <row r="73" spans="1:8" s="80" customFormat="1" ht="11.25" customHeight="1">
      <c r="B73" s="603" t="s">
        <v>319</v>
      </c>
      <c r="C73" s="603"/>
      <c r="D73" s="603"/>
      <c r="E73" s="604"/>
      <c r="F73" s="81"/>
      <c r="G73" s="81"/>
      <c r="H73" s="82"/>
    </row>
    <row r="74" spans="1:8" s="80" customFormat="1" ht="11.25" customHeight="1">
      <c r="B74" s="603" t="s">
        <v>320</v>
      </c>
      <c r="C74" s="603"/>
      <c r="D74" s="603"/>
      <c r="E74" s="604"/>
      <c r="F74" s="81"/>
      <c r="G74" s="81"/>
      <c r="H74" s="82"/>
    </row>
    <row r="75" spans="1:8" s="80" customFormat="1" ht="11.25" customHeight="1">
      <c r="B75" s="603" t="s">
        <v>321</v>
      </c>
      <c r="C75" s="603"/>
      <c r="D75" s="603"/>
      <c r="E75" s="604"/>
      <c r="F75" s="81"/>
      <c r="G75" s="81"/>
      <c r="H75" s="82"/>
    </row>
    <row r="76" spans="1:8" s="80" customFormat="1" ht="11.25" customHeight="1">
      <c r="B76" s="595" t="s">
        <v>318</v>
      </c>
      <c r="C76" s="595"/>
      <c r="D76" s="595"/>
      <c r="E76" s="596"/>
      <c r="F76" s="83"/>
      <c r="G76" s="83"/>
      <c r="H76" s="84"/>
    </row>
    <row r="77" spans="1:8" s="80" customFormat="1" ht="11.25" customHeight="1">
      <c r="B77" s="621"/>
      <c r="C77" s="621"/>
      <c r="D77" s="621"/>
      <c r="E77" s="621"/>
      <c r="F77" s="84"/>
      <c r="G77" s="84"/>
      <c r="H77" s="84"/>
    </row>
    <row r="78" spans="1:8" s="80" customFormat="1" ht="11.25" customHeight="1">
      <c r="B78" s="622" t="s">
        <v>322</v>
      </c>
      <c r="C78" s="622"/>
      <c r="D78" s="622"/>
      <c r="E78" s="599"/>
      <c r="F78" s="83"/>
      <c r="G78" s="83"/>
      <c r="H78" s="84"/>
    </row>
    <row r="79" spans="1:8" s="80" customFormat="1" ht="11.25" customHeight="1">
      <c r="B79" s="621" t="s">
        <v>323</v>
      </c>
      <c r="C79" s="621"/>
      <c r="D79" s="621"/>
      <c r="E79" s="588"/>
      <c r="F79" s="83"/>
      <c r="G79" s="83"/>
      <c r="H79" s="84"/>
    </row>
    <row r="80" spans="1:8" ht="11.25" customHeight="1">
      <c r="A80" s="10"/>
      <c r="B80" s="610" t="s">
        <v>73</v>
      </c>
      <c r="C80" s="610"/>
      <c r="D80" s="610"/>
      <c r="E80" s="610"/>
      <c r="F80" s="610"/>
      <c r="G80" s="610"/>
      <c r="H80" s="610"/>
    </row>
    <row r="81" spans="1:11" ht="11.25" customHeight="1">
      <c r="A81" s="10"/>
    </row>
    <row r="82" spans="1:11" s="6" customFormat="1" ht="11.25" customHeight="1">
      <c r="A82" s="79"/>
      <c r="B82" s="576"/>
      <c r="C82" s="576"/>
      <c r="D82" s="576"/>
      <c r="E82" s="576"/>
      <c r="F82" s="576"/>
      <c r="G82" s="576"/>
      <c r="H82" s="576"/>
      <c r="I82" s="576"/>
      <c r="J82" s="576"/>
    </row>
    <row r="83" spans="1:11" s="6" customFormat="1" ht="11.25" customHeight="1">
      <c r="A83" s="79"/>
      <c r="B83" s="590"/>
      <c r="C83" s="590"/>
      <c r="D83" s="590"/>
      <c r="E83" s="590"/>
      <c r="F83" s="590"/>
      <c r="G83" s="590"/>
      <c r="H83" s="590"/>
      <c r="I83" s="590"/>
      <c r="J83" s="590"/>
    </row>
    <row r="84" spans="1:11" ht="11.25" customHeight="1">
      <c r="A84" s="10"/>
      <c r="B84" s="575" t="s">
        <v>81</v>
      </c>
      <c r="C84" s="575"/>
      <c r="D84" s="575"/>
      <c r="E84" s="575"/>
      <c r="F84" s="575"/>
      <c r="G84" s="575"/>
      <c r="H84" s="575"/>
      <c r="I84" s="575"/>
      <c r="J84" s="575"/>
    </row>
    <row r="85" spans="1:11" ht="11.25" customHeight="1">
      <c r="A85" s="10"/>
      <c r="B85" s="575" t="s">
        <v>82</v>
      </c>
      <c r="C85" s="575"/>
      <c r="D85" s="575"/>
      <c r="E85" s="575"/>
      <c r="F85" s="575"/>
      <c r="G85" s="575"/>
      <c r="H85" s="575"/>
      <c r="I85" s="575"/>
      <c r="J85" s="575"/>
    </row>
    <row r="86" spans="1:11" ht="11.25" customHeight="1">
      <c r="A86" s="10"/>
      <c r="B86" s="575" t="s">
        <v>23</v>
      </c>
      <c r="C86" s="575"/>
      <c r="D86" s="575"/>
      <c r="E86" s="575"/>
      <c r="F86" s="575"/>
      <c r="G86" s="575"/>
      <c r="H86" s="575"/>
      <c r="I86" s="575"/>
      <c r="J86" s="575"/>
    </row>
    <row r="87" spans="1:11" ht="11.25" customHeight="1">
      <c r="A87" s="10"/>
      <c r="B87" s="575" t="s">
        <v>114</v>
      </c>
      <c r="C87" s="575"/>
      <c r="D87" s="575"/>
      <c r="E87" s="575"/>
      <c r="F87" s="575"/>
      <c r="G87" s="575"/>
      <c r="H87" s="575"/>
      <c r="I87" s="575"/>
      <c r="J87" s="575"/>
    </row>
    <row r="88" spans="1:11" ht="11.25" customHeight="1">
      <c r="A88" s="10"/>
      <c r="B88" s="607">
        <v>2010</v>
      </c>
      <c r="C88" s="607"/>
      <c r="D88" s="607"/>
      <c r="E88" s="607"/>
      <c r="F88" s="607"/>
      <c r="G88" s="607"/>
      <c r="H88" s="607"/>
      <c r="I88" s="607"/>
      <c r="J88" s="607"/>
    </row>
    <row r="89" spans="1:11" ht="11.25" customHeight="1">
      <c r="A89" s="10"/>
      <c r="B89" s="63" t="s">
        <v>331</v>
      </c>
      <c r="C89" s="64"/>
      <c r="D89" s="64"/>
      <c r="E89" s="64"/>
      <c r="F89" s="85"/>
      <c r="G89" s="85"/>
      <c r="H89" s="107">
        <v>1</v>
      </c>
    </row>
    <row r="90" spans="1:11" ht="11.25" customHeight="1">
      <c r="B90" s="86" t="s">
        <v>9</v>
      </c>
      <c r="C90" s="593" t="s">
        <v>324</v>
      </c>
      <c r="D90" s="594"/>
      <c r="E90" s="87" t="s">
        <v>325</v>
      </c>
      <c r="F90" s="593" t="s">
        <v>326</v>
      </c>
      <c r="G90" s="594"/>
      <c r="H90" s="108" t="s">
        <v>134</v>
      </c>
      <c r="I90" s="109"/>
      <c r="J90" s="109"/>
      <c r="K90" s="10"/>
    </row>
    <row r="91" spans="1:11" ht="17.45" customHeight="1">
      <c r="B91" s="88"/>
      <c r="C91" s="597" t="s">
        <v>327</v>
      </c>
      <c r="D91" s="598"/>
      <c r="E91" s="89" t="s">
        <v>327</v>
      </c>
      <c r="F91" s="597" t="s">
        <v>328</v>
      </c>
      <c r="G91" s="598"/>
      <c r="H91" s="605" t="s">
        <v>135</v>
      </c>
      <c r="I91" s="606"/>
      <c r="J91" s="606"/>
    </row>
    <row r="92" spans="1:11" ht="20.45" customHeight="1">
      <c r="B92" s="90"/>
      <c r="C92" s="586" t="s">
        <v>58</v>
      </c>
      <c r="D92" s="587"/>
      <c r="E92" s="91" t="s">
        <v>59</v>
      </c>
      <c r="F92" s="586" t="s">
        <v>35</v>
      </c>
      <c r="G92" s="587"/>
      <c r="H92" s="573" t="s">
        <v>329</v>
      </c>
      <c r="I92" s="574"/>
      <c r="J92" s="574"/>
    </row>
    <row r="93" spans="1:11" ht="11.25" customHeight="1">
      <c r="B93" s="92">
        <v>2009</v>
      </c>
      <c r="C93" s="93"/>
      <c r="D93" s="94"/>
      <c r="E93" s="95"/>
      <c r="F93" s="95"/>
      <c r="G93" s="92"/>
      <c r="H93" s="99"/>
      <c r="I93" s="10"/>
      <c r="J93" s="10"/>
    </row>
    <row r="94" spans="1:11" ht="11.25" customHeight="1">
      <c r="B94" s="96" t="s">
        <v>332</v>
      </c>
      <c r="C94" s="97"/>
      <c r="D94" s="98"/>
      <c r="E94" s="99"/>
      <c r="F94" s="99"/>
      <c r="G94" s="96"/>
      <c r="H94" s="99"/>
      <c r="I94" s="10"/>
      <c r="J94" s="10"/>
    </row>
    <row r="95" spans="1:11" ht="11.25" customHeight="1">
      <c r="B95" s="96" t="s">
        <v>332</v>
      </c>
      <c r="C95" s="97"/>
      <c r="D95" s="98"/>
      <c r="E95" s="99"/>
      <c r="F95" s="99"/>
      <c r="G95" s="96"/>
      <c r="H95" s="99"/>
      <c r="I95" s="10"/>
      <c r="J95" s="10"/>
    </row>
    <row r="96" spans="1:11" ht="11.25" customHeight="1">
      <c r="B96" s="96" t="s">
        <v>332</v>
      </c>
      <c r="C96" s="97"/>
      <c r="D96" s="98"/>
      <c r="E96" s="99"/>
      <c r="F96" s="99"/>
      <c r="G96" s="96"/>
      <c r="H96" s="99"/>
      <c r="I96" s="10"/>
      <c r="J96" s="10"/>
    </row>
    <row r="97" spans="2:10" ht="11.25" customHeight="1">
      <c r="B97" s="100">
        <v>2083</v>
      </c>
      <c r="C97" s="101"/>
      <c r="D97" s="102"/>
      <c r="E97" s="103"/>
      <c r="F97" s="103"/>
      <c r="G97" s="100"/>
      <c r="H97" s="103"/>
      <c r="I97" s="70"/>
      <c r="J97" s="70"/>
    </row>
    <row r="98" spans="2:10" ht="11.25" customHeight="1">
      <c r="B98" s="104" t="s">
        <v>73</v>
      </c>
      <c r="C98" s="105"/>
      <c r="D98" s="105"/>
      <c r="E98" s="105"/>
      <c r="F98" s="105"/>
      <c r="G98" s="105"/>
      <c r="H98" s="105"/>
    </row>
    <row r="99" spans="2:10" ht="11.25" customHeight="1">
      <c r="B99" s="106" t="s">
        <v>330</v>
      </c>
      <c r="C99" s="106"/>
      <c r="D99" s="106"/>
      <c r="E99" s="106"/>
      <c r="F99" s="106"/>
      <c r="G99" s="106"/>
      <c r="H99" s="106"/>
    </row>
    <row r="119" spans="2:2" ht="11.25" customHeight="1">
      <c r="B119" s="5" t="s">
        <v>419</v>
      </c>
    </row>
  </sheetData>
  <mergeCells count="86">
    <mergeCell ref="H66:H67"/>
    <mergeCell ref="B79:E79"/>
    <mergeCell ref="B77:E77"/>
    <mergeCell ref="B78:E78"/>
    <mergeCell ref="B66:E67"/>
    <mergeCell ref="F66:F67"/>
    <mergeCell ref="G66:G67"/>
    <mergeCell ref="B4:J4"/>
    <mergeCell ref="B1:J1"/>
    <mergeCell ref="B2:J2"/>
    <mergeCell ref="B5:J5"/>
    <mergeCell ref="B3:J3"/>
    <mergeCell ref="B6:J6"/>
    <mergeCell ref="B37:E37"/>
    <mergeCell ref="B38:E38"/>
    <mergeCell ref="B39:E39"/>
    <mergeCell ref="B20:E20"/>
    <mergeCell ref="B32:E32"/>
    <mergeCell ref="B7:H7"/>
    <mergeCell ref="B8:E8"/>
    <mergeCell ref="B12:E12"/>
    <mergeCell ref="B13:E13"/>
    <mergeCell ref="C16:E16"/>
    <mergeCell ref="C24:E24"/>
    <mergeCell ref="C26:E26"/>
    <mergeCell ref="B33:E33"/>
    <mergeCell ref="B34:E34"/>
    <mergeCell ref="H91:J91"/>
    <mergeCell ref="B85:J85"/>
    <mergeCell ref="B87:J87"/>
    <mergeCell ref="B88:J88"/>
    <mergeCell ref="B25:E25"/>
    <mergeCell ref="B84:J84"/>
    <mergeCell ref="B42:E42"/>
    <mergeCell ref="B46:E46"/>
    <mergeCell ref="B47:E47"/>
    <mergeCell ref="B48:E48"/>
    <mergeCell ref="B56:E56"/>
    <mergeCell ref="B49:E49"/>
    <mergeCell ref="B53:E53"/>
    <mergeCell ref="B54:E54"/>
    <mergeCell ref="B80:H80"/>
    <mergeCell ref="B68:E68"/>
    <mergeCell ref="F90:G90"/>
    <mergeCell ref="C91:D91"/>
    <mergeCell ref="F91:G91"/>
    <mergeCell ref="B36:E36"/>
    <mergeCell ref="B50:E50"/>
    <mergeCell ref="B52:E52"/>
    <mergeCell ref="B40:E40"/>
    <mergeCell ref="B44:E44"/>
    <mergeCell ref="B45:E45"/>
    <mergeCell ref="B43:E43"/>
    <mergeCell ref="B69:E69"/>
    <mergeCell ref="B71:E71"/>
    <mergeCell ref="B73:E73"/>
    <mergeCell ref="B72:E72"/>
    <mergeCell ref="B74:E74"/>
    <mergeCell ref="B75:E75"/>
    <mergeCell ref="B55:E55"/>
    <mergeCell ref="C90:D90"/>
    <mergeCell ref="B14:E14"/>
    <mergeCell ref="B21:E21"/>
    <mergeCell ref="B22:E22"/>
    <mergeCell ref="B23:E23"/>
    <mergeCell ref="B15:E15"/>
    <mergeCell ref="B17:E17"/>
    <mergeCell ref="B18:E18"/>
    <mergeCell ref="B19:E19"/>
    <mergeCell ref="B76:E76"/>
    <mergeCell ref="H92:J92"/>
    <mergeCell ref="B86:J86"/>
    <mergeCell ref="B82:J82"/>
    <mergeCell ref="B57:H57"/>
    <mergeCell ref="B9:E10"/>
    <mergeCell ref="F9:F10"/>
    <mergeCell ref="G9:G10"/>
    <mergeCell ref="H9:H10"/>
    <mergeCell ref="C92:D92"/>
    <mergeCell ref="B35:E35"/>
    <mergeCell ref="B28:E28"/>
    <mergeCell ref="B29:E29"/>
    <mergeCell ref="B30:E30"/>
    <mergeCell ref="B31:E31"/>
    <mergeCell ref="F92:G92"/>
    <mergeCell ref="B83:J83"/>
  </mergeCells>
  <phoneticPr fontId="6" type="noConversion"/>
  <pageMargins left="0.48" right="0.28999999999999998" top="0.984251969" bottom="0.984251969" header="0.49212598499999999" footer="0.49212598499999999"/>
  <pageSetup paperSize="9" orientation="portrait" verticalDpi="1200" r:id="rId1"/>
  <headerFooter alignWithMargins="0"/>
  <drawing r:id="rId2"/>
</worksheet>
</file>

<file path=xl/worksheets/sheet12.xml><?xml version="1.0" encoding="utf-8"?>
<worksheet xmlns="http://schemas.openxmlformats.org/spreadsheetml/2006/main" xmlns:r="http://schemas.openxmlformats.org/officeDocument/2006/relationships">
  <sheetPr codeName="Plan25"/>
  <dimension ref="A2:I47"/>
  <sheetViews>
    <sheetView view="pageLayout" zoomScaleNormal="100" workbookViewId="0">
      <selection activeCell="C52" sqref="C52"/>
    </sheetView>
  </sheetViews>
  <sheetFormatPr defaultRowHeight="11.25" customHeight="1"/>
  <cols>
    <col min="1" max="1" width="22.42578125" style="298" customWidth="1"/>
    <col min="2" max="2" width="21" style="298" customWidth="1"/>
    <col min="3" max="3" width="15.140625" style="298" customWidth="1"/>
    <col min="4" max="4" width="16.140625" style="298" customWidth="1"/>
    <col min="5" max="5" width="16.42578125" style="298" customWidth="1"/>
    <col min="6" max="6" width="17.5703125" style="298" customWidth="1"/>
    <col min="7" max="7" width="20.28515625" style="298" customWidth="1"/>
    <col min="8" max="16384" width="9.140625" style="298"/>
  </cols>
  <sheetData>
    <row r="2" spans="1:9" ht="11.25" customHeight="1">
      <c r="A2" s="410"/>
      <c r="B2" s="410"/>
      <c r="C2" s="410"/>
      <c r="D2" s="410"/>
      <c r="E2" s="410"/>
      <c r="F2" s="410"/>
    </row>
    <row r="3" spans="1:9" ht="11.25" customHeight="1">
      <c r="A3" s="630" t="s">
        <v>81</v>
      </c>
      <c r="B3" s="630"/>
      <c r="C3" s="630"/>
      <c r="D3" s="630"/>
      <c r="E3" s="630"/>
      <c r="F3" s="630"/>
      <c r="G3" s="299"/>
      <c r="H3" s="299"/>
      <c r="I3" s="299"/>
    </row>
    <row r="4" spans="1:9" ht="11.25" customHeight="1">
      <c r="A4" s="630" t="s">
        <v>82</v>
      </c>
      <c r="B4" s="630"/>
      <c r="C4" s="630"/>
      <c r="D4" s="630"/>
      <c r="E4" s="630"/>
      <c r="F4" s="630"/>
      <c r="G4" s="299"/>
      <c r="H4" s="299"/>
      <c r="I4" s="299"/>
    </row>
    <row r="5" spans="1:9" ht="11.25" customHeight="1">
      <c r="A5" s="630" t="s">
        <v>252</v>
      </c>
      <c r="B5" s="630"/>
      <c r="C5" s="630"/>
      <c r="D5" s="630"/>
      <c r="E5" s="630"/>
      <c r="F5" s="630"/>
      <c r="G5" s="299"/>
      <c r="H5" s="299"/>
      <c r="I5" s="299"/>
    </row>
    <row r="6" spans="1:9" ht="11.25" customHeight="1">
      <c r="A6" s="630" t="s">
        <v>541</v>
      </c>
      <c r="B6" s="630"/>
      <c r="C6" s="630"/>
      <c r="D6" s="630"/>
      <c r="E6" s="630"/>
      <c r="F6" s="630"/>
      <c r="G6" s="299"/>
      <c r="H6" s="299"/>
      <c r="I6" s="299"/>
    </row>
    <row r="7" spans="1:9" ht="11.25" customHeight="1">
      <c r="A7" s="631">
        <v>2010</v>
      </c>
      <c r="B7" s="630"/>
      <c r="C7" s="630"/>
      <c r="D7" s="630"/>
      <c r="E7" s="630"/>
      <c r="F7" s="630"/>
      <c r="G7" s="299"/>
      <c r="H7" s="299"/>
      <c r="I7" s="299"/>
    </row>
    <row r="8" spans="1:9" ht="11.25" customHeight="1">
      <c r="A8" s="299"/>
      <c r="B8" s="299"/>
      <c r="C8" s="299"/>
      <c r="D8" s="299"/>
      <c r="E8" s="299"/>
      <c r="F8" s="299"/>
      <c r="G8" s="299"/>
      <c r="H8" s="299"/>
      <c r="I8" s="299"/>
    </row>
    <row r="9" spans="1:9" ht="11.25" customHeight="1">
      <c r="A9" s="410"/>
      <c r="B9" s="410"/>
      <c r="C9" s="410"/>
      <c r="D9" s="410"/>
      <c r="E9" s="410"/>
      <c r="F9" s="410"/>
    </row>
    <row r="10" spans="1:9" ht="11.25" customHeight="1">
      <c r="A10" s="411" t="s">
        <v>212</v>
      </c>
      <c r="B10" s="412"/>
      <c r="C10" s="412"/>
      <c r="D10" s="412"/>
      <c r="E10" s="412"/>
      <c r="F10" s="413"/>
      <c r="G10" s="414">
        <v>1</v>
      </c>
    </row>
    <row r="11" spans="1:9" ht="11.25" customHeight="1">
      <c r="A11" s="537" t="s">
        <v>209</v>
      </c>
      <c r="B11" s="632" t="s">
        <v>210</v>
      </c>
      <c r="C11" s="540" t="s">
        <v>211</v>
      </c>
      <c r="D11" s="632" t="s">
        <v>115</v>
      </c>
      <c r="E11" s="637"/>
      <c r="F11" s="537"/>
      <c r="G11" s="632" t="s">
        <v>116</v>
      </c>
    </row>
    <row r="12" spans="1:9" ht="11.25" customHeight="1">
      <c r="A12" s="538"/>
      <c r="B12" s="633"/>
      <c r="C12" s="541"/>
      <c r="D12" s="634"/>
      <c r="E12" s="638"/>
      <c r="F12" s="539"/>
      <c r="G12" s="633"/>
    </row>
    <row r="13" spans="1:9" ht="15" customHeight="1">
      <c r="A13" s="539"/>
      <c r="B13" s="634"/>
      <c r="C13" s="542"/>
      <c r="D13" s="415">
        <v>2010</v>
      </c>
      <c r="E13" s="415">
        <v>2011</v>
      </c>
      <c r="F13" s="415">
        <v>2012</v>
      </c>
      <c r="G13" s="634"/>
    </row>
    <row r="14" spans="1:9" ht="11.25" customHeight="1">
      <c r="A14" s="311"/>
      <c r="B14" s="311"/>
      <c r="C14" s="311"/>
      <c r="D14" s="311"/>
      <c r="E14" s="311"/>
      <c r="F14" s="311"/>
      <c r="G14" s="416"/>
    </row>
    <row r="15" spans="1:9" ht="11.25" customHeight="1">
      <c r="A15" s="311" t="s">
        <v>450</v>
      </c>
      <c r="B15" s="311" t="s">
        <v>451</v>
      </c>
      <c r="C15" s="311" t="s">
        <v>452</v>
      </c>
      <c r="D15" s="419">
        <v>1800</v>
      </c>
      <c r="E15" s="419">
        <v>1880</v>
      </c>
      <c r="F15" s="419">
        <v>1960</v>
      </c>
      <c r="G15" s="417" t="s">
        <v>453</v>
      </c>
    </row>
    <row r="16" spans="1:9" ht="11.25" customHeight="1">
      <c r="A16" s="311" t="s">
        <v>544</v>
      </c>
      <c r="B16" s="311" t="s">
        <v>543</v>
      </c>
      <c r="C16" s="311" t="s">
        <v>545</v>
      </c>
      <c r="D16" s="419">
        <v>100000</v>
      </c>
      <c r="E16" s="419"/>
      <c r="F16" s="419"/>
      <c r="G16" s="417" t="s">
        <v>551</v>
      </c>
    </row>
    <row r="17" spans="1:7" ht="11.25" customHeight="1">
      <c r="A17" s="311"/>
      <c r="B17" s="311"/>
      <c r="C17" s="311" t="s">
        <v>546</v>
      </c>
      <c r="D17" s="419"/>
      <c r="E17" s="419"/>
      <c r="F17" s="419"/>
      <c r="G17" s="417"/>
    </row>
    <row r="18" spans="1:7" ht="11.25" customHeight="1">
      <c r="A18" s="311"/>
      <c r="B18" s="311"/>
      <c r="C18" s="311" t="s">
        <v>547</v>
      </c>
      <c r="D18" s="419"/>
      <c r="E18" s="419"/>
      <c r="F18" s="419"/>
      <c r="G18" s="417"/>
    </row>
    <row r="19" spans="1:7" ht="11.25" customHeight="1">
      <c r="A19" s="311"/>
      <c r="B19" s="311"/>
      <c r="C19" s="311"/>
      <c r="D19" s="419"/>
      <c r="E19" s="419"/>
      <c r="F19" s="419"/>
      <c r="G19" s="417"/>
    </row>
    <row r="20" spans="1:7" ht="11.25" customHeight="1">
      <c r="A20" s="311"/>
      <c r="B20" s="311"/>
      <c r="C20" s="311"/>
      <c r="D20" s="419"/>
      <c r="E20" s="419"/>
      <c r="F20" s="419"/>
      <c r="G20" s="417"/>
    </row>
    <row r="21" spans="1:7" ht="11.25" customHeight="1">
      <c r="A21" s="311"/>
      <c r="B21" s="311"/>
      <c r="C21" s="311"/>
      <c r="D21" s="419"/>
      <c r="E21" s="419"/>
      <c r="F21" s="419"/>
      <c r="G21" s="417"/>
    </row>
    <row r="22" spans="1:7" ht="11.25" customHeight="1">
      <c r="A22" s="311"/>
      <c r="B22" s="311"/>
      <c r="C22" s="311"/>
      <c r="D22" s="419"/>
      <c r="E22" s="419"/>
      <c r="F22" s="419"/>
      <c r="G22" s="417"/>
    </row>
    <row r="23" spans="1:7" ht="11.25" customHeight="1">
      <c r="A23" s="311"/>
      <c r="B23" s="311"/>
      <c r="C23" s="311"/>
      <c r="D23" s="419"/>
      <c r="E23" s="419"/>
      <c r="F23" s="419"/>
      <c r="G23" s="417"/>
    </row>
    <row r="24" spans="1:7" ht="11.25" customHeight="1">
      <c r="A24" s="311"/>
      <c r="B24" s="311"/>
      <c r="C24" s="311"/>
      <c r="D24" s="419"/>
      <c r="E24" s="419"/>
      <c r="F24" s="419"/>
      <c r="G24" s="417"/>
    </row>
    <row r="25" spans="1:7" ht="11.25" customHeight="1">
      <c r="A25" s="311"/>
      <c r="B25" s="311"/>
      <c r="C25" s="311"/>
      <c r="D25" s="419"/>
      <c r="E25" s="419"/>
      <c r="F25" s="419"/>
      <c r="G25" s="417"/>
    </row>
    <row r="26" spans="1:7" ht="11.25" customHeight="1">
      <c r="A26" s="311"/>
      <c r="B26" s="311"/>
      <c r="C26" s="311"/>
      <c r="D26" s="419"/>
      <c r="E26" s="419"/>
      <c r="F26" s="419"/>
      <c r="G26" s="417"/>
    </row>
    <row r="27" spans="1:7" ht="11.25" customHeight="1">
      <c r="A27" s="311"/>
      <c r="B27" s="311"/>
      <c r="C27" s="311"/>
      <c r="D27" s="419"/>
      <c r="E27" s="419"/>
      <c r="F27" s="419"/>
      <c r="G27" s="417"/>
    </row>
    <row r="28" spans="1:7" ht="11.25" customHeight="1">
      <c r="A28" s="311"/>
      <c r="B28" s="311"/>
      <c r="C28" s="311"/>
      <c r="D28" s="419"/>
      <c r="E28" s="419"/>
      <c r="F28" s="419"/>
      <c r="G28" s="417"/>
    </row>
    <row r="29" spans="1:7" ht="11.25" customHeight="1">
      <c r="A29" s="311"/>
      <c r="B29" s="311"/>
      <c r="C29" s="311"/>
      <c r="D29" s="419"/>
      <c r="E29" s="419"/>
      <c r="F29" s="419"/>
      <c r="G29" s="417"/>
    </row>
    <row r="30" spans="1:7" ht="11.25" customHeight="1">
      <c r="A30" s="311"/>
      <c r="B30" s="311"/>
      <c r="C30" s="311"/>
      <c r="D30" s="419"/>
      <c r="E30" s="419"/>
      <c r="F30" s="419"/>
      <c r="G30" s="417"/>
    </row>
    <row r="31" spans="1:7" ht="11.25" customHeight="1">
      <c r="A31" s="311"/>
      <c r="B31" s="311"/>
      <c r="C31" s="311"/>
      <c r="D31" s="419"/>
      <c r="E31" s="419"/>
      <c r="F31" s="419"/>
      <c r="G31" s="417"/>
    </row>
    <row r="32" spans="1:7" ht="11.25" customHeight="1">
      <c r="A32" s="319"/>
      <c r="B32" s="319"/>
      <c r="C32" s="319"/>
      <c r="D32" s="420"/>
      <c r="E32" s="420"/>
      <c r="F32" s="420"/>
      <c r="G32" s="418"/>
    </row>
    <row r="33" spans="1:9" ht="11.25" customHeight="1">
      <c r="A33" s="635" t="s">
        <v>76</v>
      </c>
      <c r="B33" s="635"/>
      <c r="C33" s="636"/>
      <c r="D33" s="420">
        <f>D15</f>
        <v>1800</v>
      </c>
      <c r="E33" s="420">
        <f>E15</f>
        <v>1880</v>
      </c>
      <c r="F33" s="420">
        <f>F15</f>
        <v>1960</v>
      </c>
      <c r="G33" s="418" t="s">
        <v>117</v>
      </c>
    </row>
    <row r="34" spans="1:9" ht="11.25" customHeight="1">
      <c r="A34" s="323" t="s">
        <v>454</v>
      </c>
      <c r="B34" s="323"/>
      <c r="C34" s="323"/>
      <c r="D34" s="323"/>
      <c r="E34" s="323"/>
      <c r="F34" s="323"/>
      <c r="G34" s="323"/>
    </row>
    <row r="35" spans="1:9" ht="11.25" customHeight="1">
      <c r="A35" s="185"/>
      <c r="B35" s="185"/>
      <c r="C35" s="185"/>
      <c r="D35" s="185"/>
      <c r="E35" s="185"/>
      <c r="F35" s="185"/>
      <c r="G35" s="183"/>
      <c r="H35" s="183"/>
      <c r="I35"/>
    </row>
    <row r="36" spans="1:9" ht="11.25" customHeight="1">
      <c r="A36" s="185" t="s">
        <v>455</v>
      </c>
      <c r="B36" s="185"/>
      <c r="C36" s="185"/>
      <c r="D36" s="185"/>
      <c r="E36" s="185"/>
      <c r="F36" s="185"/>
      <c r="G36" s="183"/>
      <c r="H36" s="183"/>
      <c r="I36"/>
    </row>
    <row r="37" spans="1:9" ht="11.25" customHeight="1">
      <c r="A37" s="185" t="s">
        <v>548</v>
      </c>
      <c r="B37" s="185"/>
      <c r="C37" s="185"/>
      <c r="D37" s="185"/>
      <c r="E37" s="185"/>
      <c r="F37" s="185"/>
      <c r="G37" s="183"/>
      <c r="H37" s="183"/>
      <c r="I37"/>
    </row>
    <row r="38" spans="1:9" ht="11.25" customHeight="1">
      <c r="A38" s="185"/>
      <c r="B38" s="185"/>
      <c r="C38" s="185"/>
      <c r="D38" s="185"/>
      <c r="E38" s="185"/>
      <c r="F38" s="185"/>
      <c r="G38" s="183"/>
      <c r="H38" s="183"/>
      <c r="I38"/>
    </row>
    <row r="39" spans="1:9" ht="11.25" customHeight="1">
      <c r="A39" s="185" t="s">
        <v>552</v>
      </c>
      <c r="B39" s="185"/>
      <c r="C39" s="185"/>
      <c r="D39" s="185"/>
      <c r="E39" s="185"/>
      <c r="F39" s="185"/>
      <c r="G39" s="183"/>
      <c r="H39" s="183"/>
      <c r="I39"/>
    </row>
    <row r="40" spans="1:9" ht="11.25" customHeight="1">
      <c r="A40" s="185"/>
      <c r="B40" s="185"/>
      <c r="C40" s="185"/>
      <c r="D40" s="185"/>
      <c r="E40" s="185"/>
      <c r="F40" s="185"/>
      <c r="G40" s="183"/>
      <c r="H40" s="183"/>
      <c r="I40"/>
    </row>
    <row r="41" spans="1:9" ht="11.25" customHeight="1">
      <c r="A41" s="185"/>
      <c r="B41" s="185"/>
      <c r="C41" s="185"/>
      <c r="D41" s="185"/>
      <c r="E41" s="185"/>
      <c r="F41" s="185"/>
      <c r="G41" s="183"/>
      <c r="H41" s="183"/>
      <c r="I41"/>
    </row>
    <row r="42" spans="1:9" ht="11.25" customHeight="1">
      <c r="A42" s="185"/>
      <c r="B42" s="185"/>
      <c r="C42" s="185"/>
      <c r="D42" s="185"/>
      <c r="E42" s="185"/>
      <c r="F42" s="185"/>
      <c r="G42" s="183"/>
      <c r="H42" s="183"/>
      <c r="I42"/>
    </row>
    <row r="43" spans="1:9" ht="11.25" customHeight="1">
      <c r="A43" s="185"/>
      <c r="B43" s="185"/>
      <c r="C43" s="185"/>
      <c r="D43" s="185"/>
      <c r="E43" s="185"/>
      <c r="F43" s="185"/>
      <c r="G43" s="183"/>
      <c r="H43" s="183"/>
      <c r="I43"/>
    </row>
    <row r="44" spans="1:9" ht="11.25" customHeight="1">
      <c r="A44" s="185" t="s">
        <v>409</v>
      </c>
      <c r="B44" s="185" t="s">
        <v>456</v>
      </c>
      <c r="C44" s="185"/>
      <c r="D44" s="185" t="s">
        <v>461</v>
      </c>
      <c r="E44" s="185"/>
      <c r="F44" s="185"/>
      <c r="I44"/>
    </row>
    <row r="45" spans="1:9" ht="11.25" customHeight="1">
      <c r="A45" s="185" t="s">
        <v>457</v>
      </c>
      <c r="B45" s="185" t="s">
        <v>458</v>
      </c>
      <c r="C45" s="185"/>
      <c r="D45" s="185" t="s">
        <v>459</v>
      </c>
      <c r="E45" s="185"/>
      <c r="F45" s="185"/>
      <c r="I45"/>
    </row>
    <row r="46" spans="1:9" ht="11.25" customHeight="1">
      <c r="A46" s="185"/>
      <c r="B46" s="185"/>
      <c r="C46" s="185"/>
      <c r="D46" s="185"/>
      <c r="E46" s="185"/>
      <c r="F46" s="185"/>
      <c r="G46" s="183"/>
      <c r="H46" s="183"/>
      <c r="I46"/>
    </row>
    <row r="47" spans="1:9" ht="11.25" customHeight="1">
      <c r="A47" s="185"/>
      <c r="B47" s="185"/>
      <c r="C47" s="185"/>
      <c r="D47" s="185"/>
      <c r="E47" s="185"/>
      <c r="F47" s="185"/>
      <c r="G47" s="183"/>
      <c r="H47" s="183"/>
      <c r="I47"/>
    </row>
  </sheetData>
  <mergeCells count="11">
    <mergeCell ref="G11:G13"/>
    <mergeCell ref="A33:C33"/>
    <mergeCell ref="A11:A13"/>
    <mergeCell ref="B11:B13"/>
    <mergeCell ref="C11:C13"/>
    <mergeCell ref="D11:F12"/>
    <mergeCell ref="A4:F4"/>
    <mergeCell ref="A3:F3"/>
    <mergeCell ref="A6:F6"/>
    <mergeCell ref="A7:F7"/>
    <mergeCell ref="A5:F5"/>
  </mergeCells>
  <phoneticPr fontId="6" type="noConversion"/>
  <pageMargins left="0.78740157480314965" right="0.59055118110236227" top="0.98425196850393704" bottom="0.98425196850393704" header="0.51181102362204722" footer="0.51181102362204722"/>
  <pageSetup paperSize="9" scale="75" orientation="landscape" verticalDpi="0" r:id="rId1"/>
  <headerFooter alignWithMargins="0">
    <oddHeader>&amp;LESTADO DO RIO GRANDE DO SUL
PREFEITURA MUNICIPAL DE BOA VSITA DO CADEADO</oddHeader>
  </headerFooter>
</worksheet>
</file>

<file path=xl/worksheets/sheet13.xml><?xml version="1.0" encoding="utf-8"?>
<worksheet xmlns="http://schemas.openxmlformats.org/spreadsheetml/2006/main" xmlns:r="http://schemas.openxmlformats.org/officeDocument/2006/relationships">
  <sheetPr codeName="Plan26"/>
  <dimension ref="A1:J48"/>
  <sheetViews>
    <sheetView view="pageLayout" topLeftCell="A16" zoomScaleNormal="100" workbookViewId="0">
      <selection activeCell="A54" sqref="A54:D54"/>
    </sheetView>
  </sheetViews>
  <sheetFormatPr defaultRowHeight="11.25" customHeight="1"/>
  <cols>
    <col min="1" max="1" width="56.42578125" style="106" customWidth="1"/>
    <col min="2" max="2" width="28.140625" style="106" customWidth="1"/>
    <col min="3" max="4" width="9.140625" style="106"/>
    <col min="5" max="5" width="23.5703125" style="106" customWidth="1"/>
    <col min="6" max="6" width="23" style="106" customWidth="1"/>
    <col min="7" max="16384" width="9.140625" style="106"/>
  </cols>
  <sheetData>
    <row r="1" spans="1:10" ht="11.25" customHeight="1">
      <c r="A1" s="408"/>
      <c r="B1" s="408"/>
    </row>
    <row r="2" spans="1:10" ht="11.25" customHeight="1">
      <c r="A2" s="553" t="s">
        <v>81</v>
      </c>
      <c r="B2" s="553"/>
      <c r="C2" s="326"/>
      <c r="D2" s="326"/>
      <c r="E2" s="326"/>
      <c r="F2" s="326"/>
      <c r="G2" s="326"/>
      <c r="H2" s="326"/>
      <c r="I2" s="326"/>
    </row>
    <row r="3" spans="1:10" ht="11.25" customHeight="1">
      <c r="A3" s="553" t="s">
        <v>82</v>
      </c>
      <c r="B3" s="553"/>
      <c r="C3" s="326"/>
      <c r="D3" s="326"/>
      <c r="E3" s="326"/>
      <c r="F3" s="326"/>
      <c r="G3" s="326"/>
      <c r="H3" s="326"/>
      <c r="I3" s="326"/>
    </row>
    <row r="4" spans="1:10" ht="11.25" customHeight="1">
      <c r="A4" s="553" t="s">
        <v>252</v>
      </c>
      <c r="B4" s="553"/>
      <c r="C4" s="326"/>
      <c r="D4" s="326"/>
      <c r="E4" s="326"/>
      <c r="F4" s="326"/>
      <c r="G4" s="326"/>
      <c r="H4" s="326"/>
      <c r="I4" s="326"/>
    </row>
    <row r="5" spans="1:10" ht="11.25" customHeight="1">
      <c r="A5" s="526" t="s">
        <v>542</v>
      </c>
      <c r="B5" s="526"/>
      <c r="C5" s="409"/>
      <c r="D5" s="409"/>
      <c r="E5" s="409"/>
      <c r="F5" s="409"/>
      <c r="G5" s="409"/>
      <c r="H5" s="409"/>
      <c r="I5" s="409"/>
    </row>
    <row r="6" spans="1:10" ht="11.25" customHeight="1">
      <c r="A6" s="554">
        <v>2010</v>
      </c>
      <c r="B6" s="553"/>
      <c r="C6" s="326"/>
      <c r="D6" s="326"/>
      <c r="E6" s="326"/>
      <c r="F6" s="326"/>
      <c r="G6" s="326"/>
      <c r="H6" s="326"/>
      <c r="I6" s="326"/>
      <c r="J6" s="326"/>
    </row>
    <row r="7" spans="1:10" ht="11.25" customHeight="1">
      <c r="A7" s="551"/>
      <c r="B7" s="551"/>
      <c r="D7" s="235"/>
      <c r="E7" s="235"/>
      <c r="F7" s="235"/>
    </row>
    <row r="8" spans="1:10" ht="11.25" customHeight="1">
      <c r="A8" s="408"/>
      <c r="B8" s="408"/>
      <c r="D8" s="235"/>
      <c r="E8" s="235"/>
      <c r="F8" s="235"/>
    </row>
    <row r="9" spans="1:10" ht="11.25" customHeight="1">
      <c r="A9" s="368"/>
      <c r="B9" s="368"/>
      <c r="D9" s="235"/>
      <c r="E9" s="235"/>
      <c r="F9" s="235"/>
    </row>
    <row r="10" spans="1:10" ht="11.25" customHeight="1">
      <c r="A10" s="369" t="s">
        <v>137</v>
      </c>
      <c r="B10" s="370">
        <v>1</v>
      </c>
      <c r="D10" s="235"/>
      <c r="E10" s="423"/>
      <c r="F10" s="423"/>
    </row>
    <row r="11" spans="1:10" ht="11.25" customHeight="1">
      <c r="A11" s="571" t="s">
        <v>118</v>
      </c>
      <c r="B11" s="640" t="s">
        <v>333</v>
      </c>
      <c r="D11" s="235"/>
      <c r="E11" s="424"/>
      <c r="F11" s="425"/>
    </row>
    <row r="12" spans="1:10" s="265" customFormat="1" ht="11.25" customHeight="1">
      <c r="A12" s="572"/>
      <c r="B12" s="641"/>
      <c r="D12" s="429"/>
      <c r="E12" s="426"/>
      <c r="F12" s="427"/>
      <c r="G12" s="106"/>
    </row>
    <row r="13" spans="1:10" ht="13.5" customHeight="1">
      <c r="A13" s="430" t="s">
        <v>119</v>
      </c>
      <c r="B13" s="431">
        <v>134500</v>
      </c>
      <c r="C13" s="432"/>
      <c r="D13" s="235"/>
      <c r="E13" s="426"/>
      <c r="F13" s="427"/>
    </row>
    <row r="14" spans="1:10" ht="13.5" customHeight="1">
      <c r="A14" s="430" t="s">
        <v>120</v>
      </c>
      <c r="B14" s="431"/>
      <c r="C14" s="432"/>
      <c r="D14" s="235"/>
      <c r="E14" s="426"/>
      <c r="F14" s="427"/>
    </row>
    <row r="15" spans="1:10" ht="14.25" customHeight="1">
      <c r="A15" s="389" t="s">
        <v>161</v>
      </c>
      <c r="B15" s="393">
        <v>34500</v>
      </c>
      <c r="C15" s="432"/>
      <c r="D15" s="235"/>
      <c r="E15" s="424"/>
      <c r="F15" s="425"/>
    </row>
    <row r="16" spans="1:10" ht="13.5" customHeight="1">
      <c r="A16" s="389" t="s">
        <v>121</v>
      </c>
      <c r="B16" s="393">
        <f>B13-B15</f>
        <v>100000</v>
      </c>
      <c r="C16" s="432"/>
      <c r="D16" s="235"/>
      <c r="E16" s="426"/>
      <c r="F16" s="427"/>
    </row>
    <row r="17" spans="1:6" ht="13.5" customHeight="1">
      <c r="A17" s="389" t="s">
        <v>122</v>
      </c>
      <c r="B17" s="393"/>
      <c r="C17" s="432"/>
      <c r="D17" s="235"/>
      <c r="E17" s="426"/>
      <c r="F17" s="425"/>
    </row>
    <row r="18" spans="1:6" ht="13.5" customHeight="1">
      <c r="A18" s="389" t="s">
        <v>123</v>
      </c>
      <c r="B18" s="393">
        <v>0</v>
      </c>
      <c r="C18" s="432"/>
      <c r="D18" s="235"/>
      <c r="E18" s="426"/>
      <c r="F18" s="427"/>
    </row>
    <row r="19" spans="1:6" ht="12.75" customHeight="1">
      <c r="A19" s="430" t="s">
        <v>124</v>
      </c>
      <c r="B19" s="433">
        <v>0</v>
      </c>
      <c r="C19" s="432"/>
      <c r="D19" s="235"/>
      <c r="E19" s="424"/>
      <c r="F19" s="425"/>
    </row>
    <row r="20" spans="1:6" ht="12.75" customHeight="1">
      <c r="A20" s="430" t="s">
        <v>125</v>
      </c>
      <c r="B20" s="431"/>
      <c r="C20" s="432"/>
      <c r="D20" s="235"/>
      <c r="E20" s="426"/>
      <c r="F20" s="427"/>
    </row>
    <row r="21" spans="1:6" ht="12.75" customHeight="1">
      <c r="A21" s="389" t="s">
        <v>94</v>
      </c>
      <c r="B21" s="393"/>
      <c r="C21" s="432"/>
      <c r="D21" s="235"/>
      <c r="E21" s="426"/>
      <c r="F21" s="427"/>
    </row>
    <row r="22" spans="1:6" ht="12.75" customHeight="1">
      <c r="A22" s="389" t="s">
        <v>95</v>
      </c>
      <c r="B22" s="393">
        <f>B16</f>
        <v>100000</v>
      </c>
      <c r="C22" s="432"/>
      <c r="D22" s="235"/>
      <c r="E22" s="424"/>
      <c r="F22" s="428"/>
    </row>
    <row r="23" spans="1:6" ht="11.25" customHeight="1">
      <c r="A23" s="639" t="s">
        <v>73</v>
      </c>
      <c r="B23" s="639"/>
      <c r="D23" s="235"/>
      <c r="E23" s="610"/>
      <c r="F23" s="610"/>
    </row>
    <row r="24" spans="1:6" ht="11.25" customHeight="1">
      <c r="D24" s="235"/>
      <c r="E24" s="235"/>
      <c r="F24" s="235"/>
    </row>
    <row r="25" spans="1:6" ht="11.25" customHeight="1">
      <c r="A25" s="421" t="s">
        <v>462</v>
      </c>
      <c r="B25" s="183"/>
      <c r="C25" s="183"/>
      <c r="D25" s="235"/>
      <c r="E25" s="235"/>
      <c r="F25" s="235"/>
    </row>
    <row r="26" spans="1:6" ht="11.25" customHeight="1">
      <c r="A26" s="422" t="s">
        <v>463</v>
      </c>
      <c r="B26" s="422"/>
      <c r="C26" s="183"/>
    </row>
    <row r="27" spans="1:6" ht="11.25" customHeight="1">
      <c r="A27" s="422" t="s">
        <v>464</v>
      </c>
      <c r="B27" s="183"/>
      <c r="C27" s="183"/>
    </row>
    <row r="28" spans="1:6" ht="11.25" customHeight="1">
      <c r="A28" s="422" t="s">
        <v>465</v>
      </c>
      <c r="B28" s="183"/>
      <c r="C28" s="183"/>
    </row>
    <row r="29" spans="1:6" ht="11.25" customHeight="1">
      <c r="A29" s="422" t="s">
        <v>474</v>
      </c>
      <c r="B29" s="183"/>
      <c r="C29" s="183"/>
    </row>
    <row r="30" spans="1:6" ht="11.25" customHeight="1">
      <c r="A30" s="422" t="s">
        <v>475</v>
      </c>
      <c r="B30" s="183"/>
      <c r="C30" s="183"/>
    </row>
    <row r="31" spans="1:6" ht="11.25" customHeight="1">
      <c r="A31" s="422" t="s">
        <v>476</v>
      </c>
      <c r="B31" s="183"/>
      <c r="C31" s="183"/>
    </row>
    <row r="32" spans="1:6" ht="11.25" customHeight="1">
      <c r="A32" s="422" t="s">
        <v>477</v>
      </c>
      <c r="B32" s="183"/>
      <c r="C32" s="183"/>
    </row>
    <row r="33" spans="1:3" ht="4.5" customHeight="1">
      <c r="A33" s="422"/>
      <c r="B33" s="183"/>
      <c r="C33" s="183"/>
    </row>
    <row r="34" spans="1:3" ht="11.25" customHeight="1">
      <c r="A34" s="183" t="s">
        <v>466</v>
      </c>
      <c r="B34" s="183"/>
      <c r="C34" s="183"/>
    </row>
    <row r="35" spans="1:3" ht="11.25" customHeight="1">
      <c r="A35" s="183" t="s">
        <v>467</v>
      </c>
      <c r="B35" s="183"/>
      <c r="C35" s="183"/>
    </row>
    <row r="36" spans="1:3" ht="11.25" customHeight="1">
      <c r="A36" s="183" t="s">
        <v>468</v>
      </c>
      <c r="B36" s="183"/>
      <c r="C36" s="183"/>
    </row>
    <row r="37" spans="1:3" ht="11.25" customHeight="1">
      <c r="A37" s="183" t="s">
        <v>469</v>
      </c>
      <c r="B37" s="183"/>
      <c r="C37" s="183"/>
    </row>
    <row r="38" spans="1:3" ht="11.25" customHeight="1">
      <c r="A38" s="183" t="s">
        <v>470</v>
      </c>
      <c r="B38" s="183"/>
      <c r="C38" s="183"/>
    </row>
    <row r="39" spans="1:3" ht="11.25" customHeight="1">
      <c r="A39" s="183" t="s">
        <v>471</v>
      </c>
      <c r="B39" s="183"/>
      <c r="C39" s="183"/>
    </row>
    <row r="40" spans="1:3" ht="11.25" customHeight="1">
      <c r="A40" s="183" t="s">
        <v>472</v>
      </c>
      <c r="B40" s="183"/>
      <c r="C40" s="183"/>
    </row>
    <row r="41" spans="1:3" ht="11.25" customHeight="1">
      <c r="A41" s="183"/>
      <c r="B41" s="183"/>
      <c r="C41" s="183"/>
    </row>
    <row r="42" spans="1:3" ht="11.25" customHeight="1">
      <c r="A42" s="183"/>
      <c r="B42" s="183"/>
      <c r="C42" s="183"/>
    </row>
    <row r="43" spans="1:3" ht="11.25" customHeight="1">
      <c r="A43" s="183" t="s">
        <v>430</v>
      </c>
      <c r="B43" s="183"/>
      <c r="C43" s="183"/>
    </row>
    <row r="44" spans="1:3" ht="11.25" customHeight="1">
      <c r="A44" s="183"/>
      <c r="B44" s="183"/>
      <c r="C44" s="183"/>
    </row>
    <row r="45" spans="1:3" ht="11.25" customHeight="1">
      <c r="A45" s="183"/>
      <c r="B45" s="183"/>
      <c r="C45" s="183"/>
    </row>
    <row r="46" spans="1:3" ht="11.25" customHeight="1">
      <c r="A46" s="183"/>
      <c r="B46" s="183"/>
      <c r="C46" s="183"/>
    </row>
    <row r="47" spans="1:3" ht="11.25" customHeight="1">
      <c r="A47" s="183" t="s">
        <v>478</v>
      </c>
      <c r="B47" s="183"/>
      <c r="C47" s="183"/>
    </row>
    <row r="48" spans="1:3" ht="11.25" customHeight="1">
      <c r="A48" s="183" t="s">
        <v>473</v>
      </c>
      <c r="B48" s="183"/>
      <c r="C48" s="183"/>
    </row>
  </sheetData>
  <mergeCells count="10">
    <mergeCell ref="A2:B2"/>
    <mergeCell ref="A3:B3"/>
    <mergeCell ref="A6:B6"/>
    <mergeCell ref="A4:B4"/>
    <mergeCell ref="E23:F23"/>
    <mergeCell ref="A23:B23"/>
    <mergeCell ref="A11:A12"/>
    <mergeCell ref="B11:B12"/>
    <mergeCell ref="A7:B7"/>
    <mergeCell ref="A5:B5"/>
  </mergeCells>
  <phoneticPr fontId="6" type="noConversion"/>
  <pageMargins left="0.78740157499999996" right="0.78740157499999996" top="0.984251969" bottom="0.984251969" header="0.49212598499999999" footer="0.49212598499999999"/>
  <pageSetup paperSize="9" scale="75" orientation="landscape" verticalDpi="0" r:id="rId1"/>
  <headerFooter alignWithMargins="0">
    <oddHeader xml:space="preserve">&amp;LESTADO RIO GRANDE DO SUL
PREFEITURA MUNICIPAL DE BOA VISTA DO CADEADO
</oddHeader>
  </headerFooter>
</worksheet>
</file>

<file path=xl/worksheets/sheet14.xml><?xml version="1.0" encoding="utf-8"?>
<worksheet xmlns="http://schemas.openxmlformats.org/spreadsheetml/2006/main" xmlns:r="http://schemas.openxmlformats.org/officeDocument/2006/relationships">
  <dimension ref="A3:E31"/>
  <sheetViews>
    <sheetView view="pageLayout" zoomScaleNormal="100" workbookViewId="0">
      <selection activeCell="A20" sqref="A20"/>
    </sheetView>
  </sheetViews>
  <sheetFormatPr defaultRowHeight="12.75"/>
  <cols>
    <col min="1" max="1" width="49.85546875" style="183" customWidth="1"/>
    <col min="2" max="2" width="15.140625" style="183" customWidth="1"/>
    <col min="3" max="3" width="44.42578125" style="183" customWidth="1"/>
    <col min="4" max="4" width="18.5703125" style="183" customWidth="1"/>
    <col min="5" max="16384" width="9.140625" style="183"/>
  </cols>
  <sheetData>
    <row r="3" spans="1:5">
      <c r="A3" s="648"/>
      <c r="B3" s="648"/>
      <c r="C3" s="648"/>
      <c r="D3" s="648"/>
    </row>
    <row r="4" spans="1:5">
      <c r="A4" s="649"/>
      <c r="B4" s="649"/>
      <c r="C4" s="649"/>
      <c r="D4" s="649"/>
    </row>
    <row r="5" spans="1:5">
      <c r="A5" s="650" t="s">
        <v>81</v>
      </c>
      <c r="B5" s="650"/>
      <c r="C5" s="650"/>
      <c r="D5" s="650"/>
      <c r="E5" s="438"/>
    </row>
    <row r="6" spans="1:5">
      <c r="A6" s="650" t="s">
        <v>138</v>
      </c>
      <c r="B6" s="650"/>
      <c r="C6" s="650"/>
      <c r="D6" s="650"/>
      <c r="E6" s="438"/>
    </row>
    <row r="7" spans="1:5">
      <c r="A7" s="650" t="s">
        <v>23</v>
      </c>
      <c r="B7" s="650"/>
      <c r="C7" s="650"/>
      <c r="D7" s="650"/>
      <c r="E7" s="438"/>
    </row>
    <row r="8" spans="1:5" ht="12.75" customHeight="1">
      <c r="A8" s="650" t="s">
        <v>139</v>
      </c>
      <c r="B8" s="650"/>
      <c r="C8" s="650"/>
      <c r="D8" s="650"/>
      <c r="E8" s="438"/>
    </row>
    <row r="9" spans="1:5">
      <c r="A9" s="651">
        <v>2010</v>
      </c>
      <c r="B9" s="650"/>
      <c r="C9" s="650"/>
      <c r="D9" s="650"/>
      <c r="E9" s="438"/>
    </row>
    <row r="10" spans="1:5">
      <c r="A10" s="648"/>
      <c r="B10" s="648"/>
      <c r="C10" s="648"/>
      <c r="D10" s="648"/>
    </row>
    <row r="11" spans="1:5">
      <c r="A11" s="652" t="s">
        <v>144</v>
      </c>
      <c r="B11" s="652"/>
      <c r="C11" s="642">
        <v>1</v>
      </c>
      <c r="D11" s="643"/>
    </row>
    <row r="12" spans="1:5">
      <c r="A12" s="644" t="s">
        <v>140</v>
      </c>
      <c r="B12" s="645"/>
      <c r="C12" s="646" t="s">
        <v>141</v>
      </c>
      <c r="D12" s="644"/>
    </row>
    <row r="13" spans="1:5">
      <c r="A13" s="439" t="s">
        <v>142</v>
      </c>
      <c r="B13" s="439" t="s">
        <v>83</v>
      </c>
      <c r="C13" s="439" t="s">
        <v>142</v>
      </c>
      <c r="D13" s="440" t="s">
        <v>83</v>
      </c>
    </row>
    <row r="14" spans="1:5" ht="30.75" customHeight="1">
      <c r="A14" s="434" t="s">
        <v>479</v>
      </c>
      <c r="B14" s="435">
        <v>20000</v>
      </c>
      <c r="C14" s="436" t="s">
        <v>532</v>
      </c>
      <c r="D14" s="437">
        <v>85000</v>
      </c>
    </row>
    <row r="15" spans="1:5" ht="15">
      <c r="A15" s="434" t="s">
        <v>480</v>
      </c>
      <c r="B15" s="435">
        <v>5000</v>
      </c>
      <c r="C15" s="436" t="s">
        <v>550</v>
      </c>
      <c r="D15" s="437">
        <v>45000</v>
      </c>
    </row>
    <row r="16" spans="1:5" ht="25.5">
      <c r="A16" s="434" t="s">
        <v>533</v>
      </c>
      <c r="B16" s="435">
        <v>5000</v>
      </c>
      <c r="C16" s="436"/>
      <c r="D16" s="436"/>
    </row>
    <row r="17" spans="1:5" ht="15">
      <c r="A17" s="434" t="s">
        <v>481</v>
      </c>
      <c r="B17" s="435">
        <v>100000</v>
      </c>
      <c r="C17" s="436"/>
      <c r="D17" s="436"/>
    </row>
    <row r="18" spans="1:5" ht="15">
      <c r="A18" s="443" t="s">
        <v>76</v>
      </c>
      <c r="B18" s="435">
        <f>SUM(B14:B17)</f>
        <v>130000</v>
      </c>
      <c r="C18" s="441" t="s">
        <v>76</v>
      </c>
      <c r="D18" s="435">
        <f>SUM(D14:D17)</f>
        <v>130000</v>
      </c>
    </row>
    <row r="19" spans="1:5" ht="16.5" customHeight="1">
      <c r="A19" s="647" t="s">
        <v>440</v>
      </c>
      <c r="B19" s="647"/>
      <c r="C19" s="442"/>
      <c r="D19" s="442"/>
    </row>
    <row r="21" spans="1:5">
      <c r="A21" s="185"/>
      <c r="B21" s="185"/>
      <c r="C21" s="185"/>
      <c r="D21" s="185"/>
      <c r="E21" s="185"/>
    </row>
    <row r="22" spans="1:5">
      <c r="A22" s="185" t="s">
        <v>549</v>
      </c>
      <c r="B22" s="185"/>
      <c r="C22" s="185"/>
      <c r="D22" s="185"/>
      <c r="E22" s="185"/>
    </row>
    <row r="23" spans="1:5">
      <c r="A23" s="185"/>
      <c r="B23" s="185"/>
      <c r="C23" s="185"/>
      <c r="D23" s="185"/>
      <c r="E23" s="185"/>
    </row>
    <row r="24" spans="1:5">
      <c r="A24" s="185"/>
      <c r="B24" s="185"/>
      <c r="C24" s="185"/>
      <c r="D24" s="185"/>
      <c r="E24" s="185"/>
    </row>
    <row r="25" spans="1:5">
      <c r="A25" s="185"/>
      <c r="B25" s="185"/>
      <c r="C25" s="185"/>
      <c r="D25" s="185"/>
      <c r="E25" s="185"/>
    </row>
    <row r="26" spans="1:5">
      <c r="A26" s="185"/>
      <c r="B26" s="185"/>
      <c r="C26" s="185"/>
      <c r="D26" s="185"/>
      <c r="E26" s="185"/>
    </row>
    <row r="27" spans="1:5">
      <c r="A27" s="185" t="s">
        <v>409</v>
      </c>
      <c r="B27" s="185" t="s">
        <v>456</v>
      </c>
      <c r="C27" s="185"/>
      <c r="D27" s="185" t="s">
        <v>461</v>
      </c>
      <c r="E27" s="185"/>
    </row>
    <row r="28" spans="1:5">
      <c r="A28" s="185" t="s">
        <v>457</v>
      </c>
      <c r="B28" s="185" t="s">
        <v>458</v>
      </c>
      <c r="C28" s="185"/>
      <c r="D28" s="185" t="s">
        <v>459</v>
      </c>
      <c r="E28" s="185"/>
    </row>
    <row r="29" spans="1:5">
      <c r="A29" s="185"/>
      <c r="B29" s="185"/>
      <c r="C29" s="185"/>
      <c r="D29" s="185"/>
      <c r="E29" s="185"/>
    </row>
    <row r="30" spans="1:5">
      <c r="A30" s="185"/>
      <c r="B30" s="185"/>
      <c r="C30" s="185"/>
      <c r="D30" s="185"/>
      <c r="E30" s="185"/>
    </row>
    <row r="31" spans="1:5">
      <c r="A31" s="298"/>
      <c r="B31" s="298"/>
      <c r="C31" s="298"/>
      <c r="D31" s="298"/>
      <c r="E31" s="298"/>
    </row>
  </sheetData>
  <mergeCells count="13">
    <mergeCell ref="C11:D11"/>
    <mergeCell ref="A12:B12"/>
    <mergeCell ref="C12:D12"/>
    <mergeCell ref="A19:B19"/>
    <mergeCell ref="A3:D3"/>
    <mergeCell ref="A4:D4"/>
    <mergeCell ref="A5:D5"/>
    <mergeCell ref="A10:D10"/>
    <mergeCell ref="A6:D6"/>
    <mergeCell ref="A7:D7"/>
    <mergeCell ref="A8:D8"/>
    <mergeCell ref="A9:D9"/>
    <mergeCell ref="A11:B11"/>
  </mergeCells>
  <phoneticPr fontId="6" type="noConversion"/>
  <pageMargins left="0.78740157499999996" right="0.78740157499999996" top="0.984251969" bottom="0.984251969" header="0.49212598499999999" footer="0.49212598499999999"/>
  <pageSetup paperSize="9" orientation="landscape" verticalDpi="0" r:id="rId1"/>
  <headerFooter alignWithMargins="0">
    <oddHeader>&amp;LESTADO DO RIO GRANDE DO SUL
PREFEITURA MUNICIPAL DE BOA VISTA DO CADEADO</oddHeader>
  </headerFooter>
</worksheet>
</file>

<file path=xl/worksheets/sheet15.xml><?xml version="1.0" encoding="utf-8"?>
<worksheet xmlns="http://schemas.openxmlformats.org/spreadsheetml/2006/main" xmlns:r="http://schemas.openxmlformats.org/officeDocument/2006/relationships">
  <dimension ref="A1:E65"/>
  <sheetViews>
    <sheetView view="pageLayout" topLeftCell="A31" zoomScaleNormal="100" workbookViewId="0">
      <selection activeCell="A54" sqref="A54:D54"/>
    </sheetView>
  </sheetViews>
  <sheetFormatPr defaultRowHeight="12.75"/>
  <cols>
    <col min="1" max="1" width="7.7109375" style="183" customWidth="1"/>
    <col min="2" max="2" width="52.85546875" style="183" customWidth="1"/>
    <col min="3" max="3" width="22" style="183" customWidth="1"/>
    <col min="4" max="4" width="13.85546875" style="183" customWidth="1"/>
    <col min="5" max="16384" width="9.140625" style="183"/>
  </cols>
  <sheetData>
    <row r="1" spans="1:4">
      <c r="A1" s="650" t="s">
        <v>81</v>
      </c>
      <c r="B1" s="650"/>
      <c r="C1" s="650"/>
      <c r="D1" s="438"/>
    </row>
    <row r="2" spans="1:4">
      <c r="A2" s="650" t="s">
        <v>138</v>
      </c>
      <c r="B2" s="650"/>
      <c r="C2" s="650"/>
      <c r="D2" s="438"/>
    </row>
    <row r="3" spans="1:4">
      <c r="A3" s="650" t="s">
        <v>143</v>
      </c>
      <c r="B3" s="650"/>
      <c r="C3" s="650"/>
      <c r="D3" s="438"/>
    </row>
    <row r="4" spans="1:4" ht="12.75" customHeight="1">
      <c r="A4" s="650" t="s">
        <v>168</v>
      </c>
      <c r="B4" s="650"/>
      <c r="C4" s="650"/>
      <c r="D4" s="438"/>
    </row>
    <row r="5" spans="1:4">
      <c r="A5" s="651">
        <v>2010</v>
      </c>
      <c r="B5" s="650"/>
      <c r="C5" s="650"/>
      <c r="D5" s="438"/>
    </row>
    <row r="7" spans="1:4" ht="30.75" customHeight="1">
      <c r="A7" s="655" t="s">
        <v>482</v>
      </c>
      <c r="B7" s="655"/>
      <c r="C7" s="655"/>
      <c r="D7" s="655"/>
    </row>
    <row r="8" spans="1:4" ht="13.5" thickBot="1">
      <c r="A8" s="444"/>
      <c r="D8" s="445">
        <v>1</v>
      </c>
    </row>
    <row r="9" spans="1:4" ht="51.75" thickBot="1">
      <c r="A9" s="446" t="s">
        <v>534</v>
      </c>
      <c r="B9" s="446" t="s">
        <v>483</v>
      </c>
      <c r="C9" s="446" t="s">
        <v>145</v>
      </c>
      <c r="D9" s="447" t="s">
        <v>484</v>
      </c>
    </row>
    <row r="10" spans="1:4" ht="13.5" thickBot="1">
      <c r="A10" s="448">
        <v>1003</v>
      </c>
      <c r="B10" s="449" t="s">
        <v>505</v>
      </c>
      <c r="C10" s="450">
        <v>40178</v>
      </c>
      <c r="D10" s="451">
        <v>16500</v>
      </c>
    </row>
    <row r="11" spans="1:4" ht="13.5" thickBot="1">
      <c r="A11" s="448">
        <v>1004</v>
      </c>
      <c r="B11" s="449" t="s">
        <v>505</v>
      </c>
      <c r="C11" s="450">
        <v>40178</v>
      </c>
      <c r="D11" s="451">
        <v>28000</v>
      </c>
    </row>
    <row r="12" spans="1:4" ht="13.5" thickBot="1">
      <c r="A12" s="448">
        <v>1008</v>
      </c>
      <c r="B12" s="449" t="s">
        <v>505</v>
      </c>
      <c r="C12" s="450">
        <v>40178</v>
      </c>
      <c r="D12" s="451">
        <v>21000</v>
      </c>
    </row>
    <row r="13" spans="1:4" ht="13.5" thickBot="1">
      <c r="A13" s="448">
        <v>1010</v>
      </c>
      <c r="B13" s="449" t="s">
        <v>485</v>
      </c>
      <c r="C13" s="450">
        <v>40025</v>
      </c>
      <c r="D13" s="451">
        <v>194000</v>
      </c>
    </row>
    <row r="14" spans="1:4" ht="13.5" thickBot="1">
      <c r="A14" s="448">
        <v>1011</v>
      </c>
      <c r="B14" s="449" t="s">
        <v>486</v>
      </c>
      <c r="C14" s="450">
        <v>40025</v>
      </c>
      <c r="D14" s="452">
        <v>19969</v>
      </c>
    </row>
    <row r="15" spans="1:4" ht="13.5" thickBot="1">
      <c r="A15" s="448">
        <v>1012</v>
      </c>
      <c r="B15" s="449" t="s">
        <v>487</v>
      </c>
      <c r="C15" s="450">
        <v>40178</v>
      </c>
      <c r="D15" s="451">
        <v>5000</v>
      </c>
    </row>
    <row r="16" spans="1:4" ht="13.5" thickBot="1">
      <c r="A16" s="448">
        <v>1013</v>
      </c>
      <c r="B16" s="449" t="s">
        <v>510</v>
      </c>
      <c r="C16" s="450">
        <v>40178</v>
      </c>
      <c r="D16" s="451">
        <v>1000</v>
      </c>
    </row>
    <row r="17" spans="1:4" ht="13.5" thickBot="1">
      <c r="A17" s="448">
        <v>1014</v>
      </c>
      <c r="B17" s="449" t="s">
        <v>488</v>
      </c>
      <c r="C17" s="450">
        <v>40178</v>
      </c>
      <c r="D17" s="452">
        <v>20000</v>
      </c>
    </row>
    <row r="18" spans="1:4" ht="13.5" thickBot="1">
      <c r="A18" s="448">
        <v>1015</v>
      </c>
      <c r="B18" s="449" t="s">
        <v>489</v>
      </c>
      <c r="C18" s="450"/>
      <c r="D18" s="451"/>
    </row>
    <row r="19" spans="1:4" ht="13.5" thickBot="1">
      <c r="A19" s="448">
        <v>1016</v>
      </c>
      <c r="B19" s="449" t="s">
        <v>490</v>
      </c>
      <c r="C19" s="450">
        <v>40178</v>
      </c>
      <c r="D19" s="451">
        <v>20000</v>
      </c>
    </row>
    <row r="20" spans="1:4" ht="13.5" thickBot="1">
      <c r="A20" s="448">
        <v>1017</v>
      </c>
      <c r="B20" s="449" t="s">
        <v>491</v>
      </c>
      <c r="C20" s="450">
        <v>40178</v>
      </c>
      <c r="D20" s="451">
        <v>76800</v>
      </c>
    </row>
    <row r="21" spans="1:4" ht="13.5" thickBot="1">
      <c r="A21" s="448">
        <v>1018</v>
      </c>
      <c r="B21" s="449" t="s">
        <v>535</v>
      </c>
      <c r="C21" s="450">
        <v>40178</v>
      </c>
      <c r="D21" s="451">
        <v>10000</v>
      </c>
    </row>
    <row r="22" spans="1:4" ht="13.5" thickBot="1">
      <c r="A22" s="448">
        <v>1019</v>
      </c>
      <c r="B22" s="449" t="s">
        <v>536</v>
      </c>
      <c r="C22" s="450">
        <v>40178</v>
      </c>
      <c r="D22" s="451">
        <v>5000</v>
      </c>
    </row>
    <row r="23" spans="1:4" ht="13.5" thickBot="1">
      <c r="A23" s="448">
        <v>1020</v>
      </c>
      <c r="B23" s="449" t="s">
        <v>492</v>
      </c>
      <c r="C23" s="450">
        <v>40178</v>
      </c>
      <c r="D23" s="451">
        <v>20000</v>
      </c>
    </row>
    <row r="24" spans="1:4" ht="13.5" thickBot="1">
      <c r="A24" s="448">
        <v>1021</v>
      </c>
      <c r="B24" s="449" t="s">
        <v>493</v>
      </c>
      <c r="C24" s="450">
        <v>40178</v>
      </c>
      <c r="D24" s="451">
        <v>120000</v>
      </c>
    </row>
    <row r="25" spans="1:4" ht="13.5" thickBot="1">
      <c r="A25" s="448">
        <v>1022</v>
      </c>
      <c r="B25" s="449" t="s">
        <v>494</v>
      </c>
      <c r="C25" s="450">
        <v>40178</v>
      </c>
      <c r="D25" s="451">
        <v>8000</v>
      </c>
    </row>
    <row r="26" spans="1:4" ht="13.5" thickBot="1">
      <c r="A26" s="448">
        <v>1025</v>
      </c>
      <c r="B26" s="449" t="s">
        <v>495</v>
      </c>
      <c r="C26" s="450">
        <v>39964</v>
      </c>
      <c r="D26" s="451">
        <v>257500</v>
      </c>
    </row>
    <row r="27" spans="1:4" ht="13.5" thickBot="1">
      <c r="A27" s="448">
        <v>1026</v>
      </c>
      <c r="B27" s="449" t="s">
        <v>496</v>
      </c>
      <c r="C27" s="450">
        <v>40178</v>
      </c>
      <c r="D27" s="451">
        <v>48000</v>
      </c>
    </row>
    <row r="28" spans="1:4" ht="13.5" thickBot="1">
      <c r="A28" s="448">
        <v>1027</v>
      </c>
      <c r="B28" s="449" t="s">
        <v>497</v>
      </c>
      <c r="C28" s="450">
        <v>40178</v>
      </c>
      <c r="D28" s="451">
        <v>3000</v>
      </c>
    </row>
    <row r="29" spans="1:4" ht="13.5" thickBot="1">
      <c r="A29" s="448">
        <v>1028</v>
      </c>
      <c r="B29" s="449" t="s">
        <v>498</v>
      </c>
      <c r="C29" s="450">
        <v>40178</v>
      </c>
      <c r="D29" s="451">
        <v>5000</v>
      </c>
    </row>
    <row r="30" spans="1:4" ht="13.5" thickBot="1">
      <c r="A30" s="448">
        <v>1029</v>
      </c>
      <c r="B30" s="449" t="s">
        <v>499</v>
      </c>
      <c r="C30" s="450">
        <v>40178</v>
      </c>
      <c r="D30" s="451">
        <f>24026</f>
        <v>24026</v>
      </c>
    </row>
    <row r="31" spans="1:4" ht="13.5" thickBot="1">
      <c r="A31" s="448">
        <v>1031</v>
      </c>
      <c r="B31" s="449" t="s">
        <v>500</v>
      </c>
      <c r="C31" s="450">
        <v>40178</v>
      </c>
      <c r="D31" s="451">
        <v>27000</v>
      </c>
    </row>
    <row r="32" spans="1:4" ht="13.5" thickBot="1">
      <c r="A32" s="448">
        <v>1032</v>
      </c>
      <c r="B32" s="449" t="s">
        <v>501</v>
      </c>
      <c r="C32" s="450">
        <v>40178</v>
      </c>
      <c r="D32" s="451">
        <v>20000</v>
      </c>
    </row>
    <row r="33" spans="1:5" ht="13.5" thickBot="1">
      <c r="A33" s="448">
        <v>1034</v>
      </c>
      <c r="B33" s="449" t="s">
        <v>502</v>
      </c>
      <c r="C33" s="450">
        <v>40178</v>
      </c>
      <c r="D33" s="453">
        <v>0</v>
      </c>
    </row>
    <row r="34" spans="1:5" ht="13.5" thickBot="1">
      <c r="A34" s="448">
        <v>1035</v>
      </c>
      <c r="B34" s="449" t="s">
        <v>503</v>
      </c>
      <c r="C34" s="450">
        <v>40178</v>
      </c>
      <c r="D34" s="451">
        <f>74448+177937</f>
        <v>252385</v>
      </c>
    </row>
    <row r="35" spans="1:5" ht="13.5" thickBot="1">
      <c r="A35" s="448">
        <v>1036</v>
      </c>
      <c r="B35" s="449" t="s">
        <v>504</v>
      </c>
      <c r="C35" s="450">
        <v>40178</v>
      </c>
      <c r="D35" s="451">
        <f>4245+25000</f>
        <v>29245</v>
      </c>
    </row>
    <row r="36" spans="1:5" ht="13.5" thickBot="1">
      <c r="A36" s="448">
        <v>1037</v>
      </c>
      <c r="B36" s="449" t="s">
        <v>505</v>
      </c>
      <c r="C36" s="450">
        <v>40178</v>
      </c>
      <c r="D36" s="451">
        <v>15000</v>
      </c>
    </row>
    <row r="37" spans="1:5" ht="13.5" thickBot="1">
      <c r="A37" s="448">
        <v>1038</v>
      </c>
      <c r="B37" s="449" t="s">
        <v>485</v>
      </c>
      <c r="C37" s="450">
        <v>40178</v>
      </c>
      <c r="D37" s="451">
        <v>57300</v>
      </c>
    </row>
    <row r="38" spans="1:5" ht="13.5" thickBot="1">
      <c r="A38" s="448">
        <v>1046</v>
      </c>
      <c r="B38" s="449" t="s">
        <v>506</v>
      </c>
      <c r="C38" s="450">
        <v>40178</v>
      </c>
      <c r="D38" s="451">
        <v>15000</v>
      </c>
    </row>
    <row r="39" spans="1:5" ht="13.5" thickBot="1">
      <c r="A39" s="448">
        <v>1047</v>
      </c>
      <c r="B39" s="449" t="s">
        <v>507</v>
      </c>
      <c r="C39" s="450"/>
      <c r="D39" s="451">
        <v>0</v>
      </c>
    </row>
    <row r="40" spans="1:5" ht="13.5" thickBot="1">
      <c r="A40" s="448">
        <v>1050</v>
      </c>
      <c r="B40" s="449" t="s">
        <v>511</v>
      </c>
      <c r="C40" s="450">
        <v>40178</v>
      </c>
      <c r="D40" s="451">
        <v>3800</v>
      </c>
    </row>
    <row r="41" spans="1:5" ht="13.5" thickBot="1">
      <c r="A41" s="448">
        <v>1053</v>
      </c>
      <c r="B41" s="449" t="s">
        <v>537</v>
      </c>
      <c r="C41" s="450">
        <v>40025</v>
      </c>
      <c r="D41" s="451">
        <v>6000</v>
      </c>
    </row>
    <row r="42" spans="1:5" ht="13.5" thickBot="1">
      <c r="A42" s="448">
        <v>1054</v>
      </c>
      <c r="B42" s="449" t="s">
        <v>538</v>
      </c>
      <c r="C42" s="450">
        <v>40025</v>
      </c>
      <c r="D42" s="451">
        <v>9306</v>
      </c>
    </row>
    <row r="43" spans="1:5" ht="13.5" thickBot="1">
      <c r="A43" s="448">
        <v>1055</v>
      </c>
      <c r="B43" s="449" t="s">
        <v>513</v>
      </c>
      <c r="C43" s="450">
        <v>40025</v>
      </c>
      <c r="D43" s="451">
        <v>40266</v>
      </c>
    </row>
    <row r="44" spans="1:5" ht="13.5" thickBot="1">
      <c r="A44" s="448">
        <v>1056</v>
      </c>
      <c r="B44" s="449" t="s">
        <v>512</v>
      </c>
      <c r="C44" s="450">
        <v>40178</v>
      </c>
      <c r="D44" s="451">
        <v>60000</v>
      </c>
    </row>
    <row r="45" spans="1:5" ht="13.5" thickBot="1">
      <c r="A45" s="454" t="s">
        <v>20</v>
      </c>
      <c r="B45" s="454"/>
      <c r="C45" s="454"/>
      <c r="D45" s="455">
        <f>SUM(D10:D44)</f>
        <v>1438097</v>
      </c>
    </row>
    <row r="46" spans="1:5" ht="17.25" customHeight="1">
      <c r="A46" s="456" t="s">
        <v>462</v>
      </c>
    </row>
    <row r="47" spans="1:5" ht="31.5" customHeight="1">
      <c r="A47" s="654" t="s">
        <v>514</v>
      </c>
      <c r="B47" s="654"/>
      <c r="C47" s="654"/>
      <c r="D47" s="654"/>
      <c r="E47" s="457"/>
    </row>
    <row r="48" spans="1:5" ht="39.75" customHeight="1">
      <c r="A48" s="654" t="s">
        <v>508</v>
      </c>
      <c r="B48" s="654"/>
      <c r="C48" s="654"/>
      <c r="D48" s="654"/>
    </row>
    <row r="49" spans="1:5">
      <c r="A49" s="456"/>
    </row>
    <row r="50" spans="1:5">
      <c r="A50" s="456"/>
    </row>
    <row r="51" spans="1:5">
      <c r="A51" s="653" t="s">
        <v>509</v>
      </c>
      <c r="B51" s="653"/>
      <c r="C51" s="653"/>
      <c r="D51" s="653"/>
    </row>
    <row r="52" spans="1:5">
      <c r="A52" s="456"/>
    </row>
    <row r="53" spans="1:5" ht="19.5" customHeight="1">
      <c r="A53" s="654" t="s">
        <v>539</v>
      </c>
      <c r="B53" s="654"/>
      <c r="C53" s="654"/>
      <c r="D53" s="654"/>
    </row>
    <row r="54" spans="1:5" ht="27" customHeight="1">
      <c r="A54" s="654" t="s">
        <v>540</v>
      </c>
      <c r="B54" s="654"/>
      <c r="C54" s="654"/>
      <c r="D54" s="654"/>
    </row>
    <row r="55" spans="1:5">
      <c r="A55" s="654"/>
      <c r="B55" s="654"/>
      <c r="C55" s="654"/>
      <c r="D55" s="654"/>
    </row>
    <row r="56" spans="1:5">
      <c r="A56" s="185" t="s">
        <v>460</v>
      </c>
      <c r="B56" s="185"/>
      <c r="C56" s="185"/>
      <c r="D56" s="185"/>
      <c r="E56" s="185"/>
    </row>
    <row r="57" spans="1:5">
      <c r="A57" s="185"/>
      <c r="B57" s="185"/>
      <c r="C57" s="185"/>
      <c r="D57" s="185"/>
      <c r="E57" s="185"/>
    </row>
    <row r="58" spans="1:5">
      <c r="A58" s="185"/>
      <c r="B58" s="185"/>
      <c r="C58" s="185"/>
      <c r="D58" s="185"/>
      <c r="E58" s="185"/>
    </row>
    <row r="59" spans="1:5">
      <c r="A59" s="185"/>
      <c r="B59" s="185"/>
      <c r="C59" s="185"/>
      <c r="D59" s="185"/>
      <c r="E59" s="185"/>
    </row>
    <row r="60" spans="1:5">
      <c r="A60" s="185"/>
      <c r="B60" s="185"/>
      <c r="C60" s="185"/>
      <c r="D60" s="185"/>
      <c r="E60" s="185"/>
    </row>
    <row r="61" spans="1:5" ht="15.75" customHeight="1">
      <c r="A61" s="185" t="s">
        <v>515</v>
      </c>
      <c r="B61" s="185"/>
      <c r="C61" s="185"/>
      <c r="D61" s="185" t="s">
        <v>461</v>
      </c>
      <c r="E61" s="185"/>
    </row>
    <row r="62" spans="1:5">
      <c r="A62" s="185" t="s">
        <v>516</v>
      </c>
      <c r="B62" s="185"/>
      <c r="C62" s="185"/>
      <c r="D62" s="185" t="s">
        <v>459</v>
      </c>
      <c r="E62" s="185"/>
    </row>
    <row r="63" spans="1:5">
      <c r="A63" s="185"/>
      <c r="B63" s="185"/>
      <c r="C63" s="185"/>
      <c r="D63" s="185"/>
      <c r="E63" s="185"/>
    </row>
    <row r="64" spans="1:5">
      <c r="A64" s="185"/>
      <c r="B64" s="185"/>
      <c r="C64" s="185"/>
      <c r="D64" s="185"/>
      <c r="E64" s="185"/>
    </row>
    <row r="65" spans="1:5">
      <c r="A65" s="298"/>
      <c r="B65" s="298"/>
      <c r="C65" s="298"/>
      <c r="D65" s="298"/>
      <c r="E65" s="298"/>
    </row>
  </sheetData>
  <mergeCells count="12">
    <mergeCell ref="A5:C5"/>
    <mergeCell ref="A1:C1"/>
    <mergeCell ref="A2:C2"/>
    <mergeCell ref="A3:C3"/>
    <mergeCell ref="A4:C4"/>
    <mergeCell ref="A51:D51"/>
    <mergeCell ref="A53:D53"/>
    <mergeCell ref="A54:D54"/>
    <mergeCell ref="A55:D55"/>
    <mergeCell ref="A7:D7"/>
    <mergeCell ref="A48:D48"/>
    <mergeCell ref="A47:D47"/>
  </mergeCells>
  <phoneticPr fontId="6" type="noConversion"/>
  <pageMargins left="1.3385826771653544" right="0.78740157480314965" top="0.98425196850393704" bottom="0.98425196850393704" header="0.51181102362204722" footer="0.51181102362204722"/>
  <pageSetup paperSize="9" scale="75" orientation="portrait" verticalDpi="0" r:id="rId1"/>
  <headerFooter alignWithMargins="0">
    <oddHeader xml:space="preserve">&amp;LESTADO DO RIO GRANDE DO SUL
PREFEITURA MUNICIPAL DE BOA VISTA DO CADEADO
</oddHeader>
  </headerFooter>
</worksheet>
</file>

<file path=xl/worksheets/sheet16.xml><?xml version="1.0" encoding="utf-8"?>
<worksheet xmlns="http://schemas.openxmlformats.org/spreadsheetml/2006/main" xmlns:r="http://schemas.openxmlformats.org/officeDocument/2006/relationships">
  <dimension ref="A2:L41"/>
  <sheetViews>
    <sheetView zoomScale="75" workbookViewId="0">
      <selection activeCell="A54" sqref="A54:D54"/>
    </sheetView>
  </sheetViews>
  <sheetFormatPr defaultRowHeight="12.75"/>
  <cols>
    <col min="1" max="1" width="22.85546875" style="183" customWidth="1"/>
    <col min="2" max="2" width="28.5703125" style="183" customWidth="1"/>
    <col min="3" max="3" width="18.140625" style="183" customWidth="1"/>
    <col min="4" max="4" width="13.85546875" style="183" customWidth="1"/>
    <col min="5" max="5" width="14.28515625" style="183" customWidth="1"/>
    <col min="6" max="6" width="11.42578125" style="183" customWidth="1"/>
    <col min="7" max="7" width="12.5703125" style="183" customWidth="1"/>
    <col min="8" max="8" width="12.85546875" style="183" customWidth="1"/>
    <col min="9" max="9" width="14" style="183" customWidth="1"/>
    <col min="10" max="10" width="13.140625" style="183" customWidth="1"/>
    <col min="11" max="11" width="12" style="183" customWidth="1"/>
    <col min="12" max="16384" width="9.140625" style="183"/>
  </cols>
  <sheetData>
    <row r="2" spans="1:12" ht="12.75" customHeight="1">
      <c r="A2" s="650" t="s">
        <v>81</v>
      </c>
      <c r="B2" s="650"/>
      <c r="C2" s="650"/>
      <c r="D2" s="650"/>
      <c r="E2" s="650"/>
      <c r="F2" s="650"/>
      <c r="G2" s="650"/>
      <c r="H2" s="650"/>
      <c r="I2" s="650"/>
    </row>
    <row r="3" spans="1:12">
      <c r="A3" s="650" t="s">
        <v>146</v>
      </c>
      <c r="B3" s="650"/>
      <c r="C3" s="650"/>
      <c r="D3" s="650"/>
      <c r="E3" s="650"/>
      <c r="F3" s="650"/>
      <c r="G3" s="650"/>
      <c r="H3" s="650"/>
      <c r="I3" s="650"/>
    </row>
    <row r="4" spans="1:12" ht="12.75" customHeight="1">
      <c r="A4" s="650" t="s">
        <v>154</v>
      </c>
      <c r="B4" s="650"/>
      <c r="C4" s="650"/>
      <c r="D4" s="650"/>
      <c r="E4" s="650"/>
      <c r="F4" s="650"/>
      <c r="G4" s="650"/>
      <c r="H4" s="650"/>
      <c r="I4" s="650"/>
    </row>
    <row r="5" spans="1:12">
      <c r="A5" s="486">
        <v>2010</v>
      </c>
      <c r="B5" s="487"/>
      <c r="C5" s="487"/>
      <c r="D5" s="487"/>
      <c r="E5" s="487"/>
      <c r="F5" s="487"/>
      <c r="G5" s="487"/>
      <c r="H5" s="487"/>
      <c r="I5" s="487"/>
    </row>
    <row r="6" spans="1:12">
      <c r="A6" s="485"/>
      <c r="B6" s="485"/>
      <c r="C6" s="485"/>
      <c r="D6" s="485"/>
      <c r="E6" s="485"/>
      <c r="F6" s="485"/>
      <c r="G6" s="485"/>
      <c r="H6" s="485"/>
      <c r="I6" s="485"/>
    </row>
    <row r="7" spans="1:12" ht="13.5" thickBot="1">
      <c r="A7" s="458"/>
      <c r="I7" s="458"/>
      <c r="J7" s="458"/>
      <c r="K7" s="458"/>
    </row>
    <row r="8" spans="1:12" ht="24.75" customHeight="1" thickBot="1">
      <c r="A8" s="662" t="s">
        <v>147</v>
      </c>
      <c r="B8" s="660" t="s">
        <v>148</v>
      </c>
      <c r="C8" s="660" t="s">
        <v>149</v>
      </c>
      <c r="D8" s="660" t="s">
        <v>213</v>
      </c>
      <c r="E8" s="660" t="s">
        <v>214</v>
      </c>
      <c r="F8" s="660" t="s">
        <v>215</v>
      </c>
      <c r="G8" s="658" t="s">
        <v>334</v>
      </c>
      <c r="H8" s="659"/>
      <c r="I8" s="659"/>
      <c r="J8" s="659"/>
      <c r="K8" s="659"/>
    </row>
    <row r="9" spans="1:12" ht="55.5" customHeight="1" thickBot="1">
      <c r="A9" s="663"/>
      <c r="B9" s="661"/>
      <c r="C9" s="661"/>
      <c r="D9" s="661"/>
      <c r="E9" s="661"/>
      <c r="F9" s="661"/>
      <c r="G9" s="459" t="s">
        <v>204</v>
      </c>
      <c r="H9" s="459" t="s">
        <v>205</v>
      </c>
      <c r="I9" s="460" t="s">
        <v>206</v>
      </c>
      <c r="J9" s="460" t="s">
        <v>207</v>
      </c>
      <c r="K9" s="461" t="s">
        <v>208</v>
      </c>
      <c r="L9" s="356"/>
    </row>
    <row r="10" spans="1:12" ht="18" customHeight="1">
      <c r="A10" s="462" t="s">
        <v>150</v>
      </c>
      <c r="B10" s="463"/>
      <c r="C10" s="463"/>
      <c r="D10" s="463"/>
      <c r="E10" s="463"/>
      <c r="F10" s="463"/>
      <c r="G10" s="464"/>
      <c r="H10" s="464"/>
      <c r="I10" s="465"/>
      <c r="J10" s="465"/>
      <c r="K10" s="466"/>
    </row>
    <row r="11" spans="1:12" ht="26.25" customHeight="1">
      <c r="A11" s="462" t="s">
        <v>517</v>
      </c>
      <c r="B11" s="463" t="s">
        <v>522</v>
      </c>
      <c r="C11" s="467">
        <v>687</v>
      </c>
      <c r="D11" s="463">
        <v>51</v>
      </c>
      <c r="E11" s="463">
        <v>35</v>
      </c>
      <c r="F11" s="468">
        <f>D11-E11</f>
        <v>16</v>
      </c>
      <c r="G11" s="464"/>
      <c r="H11" s="464"/>
      <c r="I11" s="465"/>
      <c r="J11" s="465"/>
      <c r="K11" s="480"/>
    </row>
    <row r="12" spans="1:12">
      <c r="A12" s="470"/>
      <c r="B12" s="471"/>
      <c r="C12" s="472"/>
      <c r="D12" s="471"/>
      <c r="E12" s="471"/>
      <c r="F12" s="473"/>
      <c r="G12" s="471"/>
      <c r="H12" s="471"/>
      <c r="I12" s="474"/>
      <c r="J12" s="474"/>
      <c r="K12" s="469"/>
    </row>
    <row r="13" spans="1:12" ht="15.75" customHeight="1">
      <c r="A13" s="462" t="s">
        <v>151</v>
      </c>
      <c r="B13" s="463"/>
      <c r="C13" s="467"/>
      <c r="D13" s="463"/>
      <c r="E13" s="463"/>
      <c r="F13" s="468"/>
      <c r="G13" s="463"/>
      <c r="H13" s="463"/>
      <c r="I13" s="474"/>
      <c r="J13" s="474"/>
      <c r="K13" s="475"/>
    </row>
    <row r="14" spans="1:12">
      <c r="A14" s="470"/>
      <c r="B14" s="471"/>
      <c r="C14" s="472"/>
      <c r="D14" s="471"/>
      <c r="E14" s="471"/>
      <c r="F14" s="473"/>
      <c r="G14" s="471"/>
      <c r="H14" s="471"/>
      <c r="I14" s="474"/>
      <c r="J14" s="474"/>
      <c r="K14" s="476"/>
    </row>
    <row r="15" spans="1:12">
      <c r="A15" s="470"/>
      <c r="B15" s="471"/>
      <c r="C15" s="472"/>
      <c r="D15" s="471"/>
      <c r="E15" s="471"/>
      <c r="F15" s="473"/>
      <c r="G15" s="471"/>
      <c r="H15" s="471"/>
      <c r="I15" s="474"/>
      <c r="J15" s="474"/>
      <c r="K15" s="477"/>
    </row>
    <row r="16" spans="1:12">
      <c r="A16" s="470"/>
      <c r="B16" s="471"/>
      <c r="C16" s="472"/>
      <c r="D16" s="471"/>
      <c r="E16" s="471"/>
      <c r="F16" s="473"/>
      <c r="G16" s="471"/>
      <c r="H16" s="471"/>
      <c r="I16" s="474"/>
      <c r="J16" s="474"/>
      <c r="K16" s="469"/>
    </row>
    <row r="17" spans="1:11" ht="15" customHeight="1">
      <c r="A17" s="462" t="s">
        <v>152</v>
      </c>
      <c r="B17" s="463"/>
      <c r="C17" s="467"/>
      <c r="D17" s="463"/>
      <c r="E17" s="463"/>
      <c r="F17" s="468"/>
      <c r="G17" s="463"/>
      <c r="H17" s="463"/>
      <c r="I17" s="474"/>
      <c r="J17" s="474"/>
      <c r="K17" s="475"/>
    </row>
    <row r="18" spans="1:11">
      <c r="A18" s="470"/>
      <c r="B18" s="471"/>
      <c r="C18" s="472"/>
      <c r="D18" s="471"/>
      <c r="E18" s="471"/>
      <c r="F18" s="473"/>
      <c r="G18" s="471"/>
      <c r="H18" s="471"/>
      <c r="I18" s="474"/>
      <c r="J18" s="474"/>
      <c r="K18" s="466"/>
    </row>
    <row r="19" spans="1:11">
      <c r="A19" s="470"/>
      <c r="B19" s="471"/>
      <c r="C19" s="472"/>
      <c r="D19" s="471"/>
      <c r="E19" s="471"/>
      <c r="F19" s="473"/>
      <c r="G19" s="471"/>
      <c r="H19" s="471"/>
      <c r="I19" s="474"/>
      <c r="J19" s="474"/>
      <c r="K19" s="469"/>
    </row>
    <row r="20" spans="1:11" ht="15.75" customHeight="1">
      <c r="A20" s="462" t="s">
        <v>153</v>
      </c>
      <c r="B20" s="463"/>
      <c r="C20" s="467"/>
      <c r="D20" s="463"/>
      <c r="E20" s="463"/>
      <c r="F20" s="468"/>
      <c r="G20" s="463"/>
      <c r="H20" s="463"/>
      <c r="I20" s="474"/>
      <c r="J20" s="474"/>
      <c r="K20" s="475"/>
    </row>
    <row r="21" spans="1:11">
      <c r="A21" s="470"/>
      <c r="B21" s="471"/>
      <c r="C21" s="471"/>
      <c r="D21" s="471"/>
      <c r="E21" s="471"/>
      <c r="F21" s="473"/>
      <c r="G21" s="471"/>
      <c r="H21" s="471"/>
      <c r="I21" s="474"/>
      <c r="J21" s="474"/>
      <c r="K21" s="469"/>
    </row>
    <row r="22" spans="1:11">
      <c r="A22" s="462" t="s">
        <v>335</v>
      </c>
      <c r="B22" s="471"/>
      <c r="C22" s="471"/>
      <c r="D22" s="471"/>
      <c r="E22" s="471"/>
      <c r="F22" s="473"/>
      <c r="G22" s="471"/>
      <c r="H22" s="471"/>
      <c r="I22" s="474"/>
      <c r="J22" s="474"/>
      <c r="K22" s="476"/>
    </row>
    <row r="23" spans="1:11">
      <c r="A23" s="478" t="s">
        <v>203</v>
      </c>
      <c r="B23" s="656"/>
      <c r="C23" s="657"/>
      <c r="D23" s="474"/>
      <c r="E23" s="474"/>
      <c r="F23" s="479"/>
      <c r="G23" s="474"/>
      <c r="H23" s="474"/>
      <c r="I23" s="474"/>
      <c r="J23" s="474"/>
      <c r="K23" s="477"/>
    </row>
    <row r="24" spans="1:11">
      <c r="A24" s="183" t="s">
        <v>518</v>
      </c>
    </row>
    <row r="26" spans="1:11">
      <c r="A26" s="183" t="s">
        <v>519</v>
      </c>
    </row>
    <row r="28" spans="1:11">
      <c r="A28" s="183" t="s">
        <v>523</v>
      </c>
    </row>
    <row r="32" spans="1:11">
      <c r="A32" s="183" t="s">
        <v>430</v>
      </c>
    </row>
    <row r="36" spans="1:2">
      <c r="A36" s="183" t="s">
        <v>520</v>
      </c>
    </row>
    <row r="37" spans="1:2">
      <c r="A37" s="183" t="s">
        <v>521</v>
      </c>
    </row>
    <row r="38" spans="1:2">
      <c r="A38" s="106"/>
      <c r="B38" s="106"/>
    </row>
    <row r="39" spans="1:2">
      <c r="A39" s="106"/>
      <c r="B39" s="106"/>
    </row>
    <row r="40" spans="1:2">
      <c r="A40" s="106"/>
      <c r="B40" s="106"/>
    </row>
    <row r="41" spans="1:2">
      <c r="A41" s="106"/>
      <c r="B41" s="106"/>
    </row>
  </sheetData>
  <mergeCells count="13">
    <mergeCell ref="A5:I5"/>
    <mergeCell ref="A2:I2"/>
    <mergeCell ref="A3:I3"/>
    <mergeCell ref="A4:I4"/>
    <mergeCell ref="B23:C23"/>
    <mergeCell ref="G8:K8"/>
    <mergeCell ref="E8:E9"/>
    <mergeCell ref="F8:F9"/>
    <mergeCell ref="A6:I6"/>
    <mergeCell ref="A8:A9"/>
    <mergeCell ref="B8:B9"/>
    <mergeCell ref="C8:C9"/>
    <mergeCell ref="D8:D9"/>
  </mergeCells>
  <phoneticPr fontId="6" type="noConversion"/>
  <pageMargins left="0.78740157480314965" right="0.59055118110236227" top="0.98425196850393704" bottom="0.98425196850393704" header="0.51181102362204722" footer="0.51181102362204722"/>
  <pageSetup paperSize="9" scale="75" orientation="landscape" verticalDpi="0" r:id="rId1"/>
  <headerFooter alignWithMargins="0"/>
</worksheet>
</file>

<file path=xl/worksheets/sheet17.xml><?xml version="1.0" encoding="utf-8"?>
<worksheet xmlns="http://schemas.openxmlformats.org/spreadsheetml/2006/main" xmlns:r="http://schemas.openxmlformats.org/officeDocument/2006/relationships">
  <dimension ref="A1:D30"/>
  <sheetViews>
    <sheetView tabSelected="1" view="pageLayout" zoomScaleNormal="100" workbookViewId="0">
      <selection activeCell="A22" sqref="A22"/>
    </sheetView>
  </sheetViews>
  <sheetFormatPr defaultRowHeight="12.75"/>
  <cols>
    <col min="1" max="1" width="40.28515625" customWidth="1"/>
    <col min="2" max="2" width="11.42578125" customWidth="1"/>
    <col min="3" max="3" width="25" customWidth="1"/>
    <col min="4" max="4" width="21.5703125" customWidth="1"/>
  </cols>
  <sheetData>
    <row r="1" spans="1:4">
      <c r="A1" s="183"/>
      <c r="B1" s="183"/>
      <c r="C1" s="183"/>
      <c r="D1" s="183"/>
    </row>
    <row r="2" spans="1:4">
      <c r="A2" s="183"/>
      <c r="B2" s="183"/>
      <c r="C2" s="183"/>
      <c r="D2" s="183"/>
    </row>
    <row r="3" spans="1:4">
      <c r="A3" s="648"/>
      <c r="B3" s="648"/>
      <c r="C3" s="648"/>
      <c r="D3" s="648"/>
    </row>
    <row r="4" spans="1:4">
      <c r="A4" s="649"/>
      <c r="B4" s="649"/>
      <c r="C4" s="649"/>
      <c r="D4" s="649"/>
    </row>
    <row r="5" spans="1:4">
      <c r="A5" s="650" t="s">
        <v>81</v>
      </c>
      <c r="B5" s="650"/>
      <c r="C5" s="650"/>
      <c r="D5" s="650"/>
    </row>
    <row r="6" spans="1:4">
      <c r="A6" s="650" t="s">
        <v>138</v>
      </c>
      <c r="B6" s="650"/>
      <c r="C6" s="650"/>
      <c r="D6" s="650"/>
    </row>
    <row r="7" spans="1:4">
      <c r="A7" s="650" t="s">
        <v>23</v>
      </c>
      <c r="B7" s="650"/>
      <c r="C7" s="650"/>
      <c r="D7" s="650"/>
    </row>
    <row r="8" spans="1:4">
      <c r="A8" s="650" t="s">
        <v>139</v>
      </c>
      <c r="B8" s="650"/>
      <c r="C8" s="650"/>
      <c r="D8" s="650"/>
    </row>
    <row r="9" spans="1:4">
      <c r="A9" s="651">
        <v>2010</v>
      </c>
      <c r="B9" s="650"/>
      <c r="C9" s="650"/>
      <c r="D9" s="650"/>
    </row>
    <row r="10" spans="1:4">
      <c r="A10" s="648"/>
      <c r="B10" s="648"/>
      <c r="C10" s="648"/>
      <c r="D10" s="648"/>
    </row>
    <row r="11" spans="1:4">
      <c r="A11" s="652" t="s">
        <v>144</v>
      </c>
      <c r="B11" s="652"/>
      <c r="C11" s="642">
        <v>1</v>
      </c>
      <c r="D11" s="643"/>
    </row>
    <row r="12" spans="1:4">
      <c r="A12" s="644" t="s">
        <v>140</v>
      </c>
      <c r="B12" s="645"/>
      <c r="C12" s="646" t="s">
        <v>141</v>
      </c>
      <c r="D12" s="644"/>
    </row>
    <row r="13" spans="1:4">
      <c r="A13" s="439" t="s">
        <v>142</v>
      </c>
      <c r="B13" s="439" t="s">
        <v>83</v>
      </c>
      <c r="C13" s="439" t="s">
        <v>142</v>
      </c>
      <c r="D13" s="440" t="s">
        <v>83</v>
      </c>
    </row>
    <row r="14" spans="1:4" ht="30.75" customHeight="1">
      <c r="A14" s="434" t="s">
        <v>479</v>
      </c>
      <c r="B14" s="435">
        <v>5000</v>
      </c>
      <c r="C14" s="436" t="s">
        <v>532</v>
      </c>
      <c r="D14" s="437">
        <v>85000</v>
      </c>
    </row>
    <row r="15" spans="1:4" ht="27" customHeight="1">
      <c r="A15" s="434" t="s">
        <v>480</v>
      </c>
      <c r="B15" s="435">
        <v>5000</v>
      </c>
      <c r="C15" s="436"/>
      <c r="D15" s="436"/>
    </row>
    <row r="16" spans="1:4" ht="29.25" customHeight="1">
      <c r="A16" s="434" t="s">
        <v>533</v>
      </c>
      <c r="B16" s="435">
        <v>20000</v>
      </c>
      <c r="C16" s="436"/>
      <c r="D16" s="436"/>
    </row>
    <row r="17" spans="1:4" ht="17.25" customHeight="1">
      <c r="A17" s="434" t="s">
        <v>481</v>
      </c>
      <c r="B17" s="435">
        <v>55000</v>
      </c>
      <c r="C17" s="436"/>
      <c r="D17" s="436"/>
    </row>
    <row r="18" spans="1:4" ht="15">
      <c r="A18" s="443" t="s">
        <v>76</v>
      </c>
      <c r="B18" s="435">
        <f>SUM(B14:B17)</f>
        <v>85000</v>
      </c>
      <c r="C18" s="441" t="s">
        <v>76</v>
      </c>
      <c r="D18" s="435">
        <f>SUM(D14:D17)</f>
        <v>85000</v>
      </c>
    </row>
    <row r="19" spans="1:4">
      <c r="A19" s="647" t="s">
        <v>440</v>
      </c>
      <c r="B19" s="647"/>
      <c r="C19" s="442"/>
      <c r="D19" s="442"/>
    </row>
    <row r="20" spans="1:4">
      <c r="A20" s="183"/>
      <c r="B20" s="183"/>
      <c r="C20" s="183"/>
      <c r="D20" s="183"/>
    </row>
    <row r="21" spans="1:4">
      <c r="A21" s="185"/>
      <c r="B21" s="185"/>
      <c r="C21" s="185"/>
      <c r="D21" s="185"/>
    </row>
    <row r="22" spans="1:4">
      <c r="A22" s="185" t="s">
        <v>554</v>
      </c>
      <c r="B22" s="185"/>
      <c r="C22" s="185"/>
      <c r="D22" s="185"/>
    </row>
    <row r="23" spans="1:4">
      <c r="A23" s="185"/>
      <c r="B23" s="185"/>
      <c r="C23" s="185"/>
      <c r="D23" s="185"/>
    </row>
    <row r="24" spans="1:4">
      <c r="A24" s="185"/>
      <c r="B24" s="185"/>
      <c r="C24" s="185"/>
      <c r="D24" s="185"/>
    </row>
    <row r="25" spans="1:4">
      <c r="A25" s="185"/>
      <c r="B25" s="185"/>
      <c r="C25" s="185"/>
      <c r="D25" s="185"/>
    </row>
    <row r="26" spans="1:4">
      <c r="A26" s="185"/>
      <c r="B26" s="185"/>
      <c r="C26" s="185"/>
      <c r="D26" s="185"/>
    </row>
    <row r="27" spans="1:4">
      <c r="A27" s="185" t="s">
        <v>409</v>
      </c>
      <c r="B27" s="185" t="s">
        <v>553</v>
      </c>
      <c r="C27" s="185"/>
      <c r="D27" s="185" t="s">
        <v>461</v>
      </c>
    </row>
    <row r="28" spans="1:4">
      <c r="A28" s="185" t="s">
        <v>457</v>
      </c>
      <c r="B28" s="185" t="s">
        <v>437</v>
      </c>
      <c r="C28" s="185"/>
      <c r="D28" s="185" t="s">
        <v>459</v>
      </c>
    </row>
    <row r="29" spans="1:4">
      <c r="A29" s="185"/>
      <c r="B29" s="185"/>
      <c r="C29" s="185"/>
      <c r="D29" s="185"/>
    </row>
    <row r="30" spans="1:4">
      <c r="A30" s="185"/>
      <c r="B30" s="185"/>
      <c r="C30" s="185"/>
      <c r="D30" s="185"/>
    </row>
  </sheetData>
  <mergeCells count="13">
    <mergeCell ref="A19:B19"/>
    <mergeCell ref="A9:D9"/>
    <mergeCell ref="A10:D10"/>
    <mergeCell ref="A11:B11"/>
    <mergeCell ref="C11:D11"/>
    <mergeCell ref="A12:B12"/>
    <mergeCell ref="C12:D12"/>
    <mergeCell ref="A3:D3"/>
    <mergeCell ref="A4:D4"/>
    <mergeCell ref="A5:D5"/>
    <mergeCell ref="A6:D6"/>
    <mergeCell ref="A7:D7"/>
    <mergeCell ref="A8:D8"/>
  </mergeCells>
  <pageMargins left="0.511811024" right="0.511811024" top="0.78740157499999996" bottom="0.78740157499999996" header="0.31496062000000002" footer="0.31496062000000002"/>
  <pageSetup paperSize="9" scale="95" orientation="portrait" verticalDpi="0" r:id="rId1"/>
  <headerFooter>
    <oddHeader>&amp;LESTADO DO RIO GRANDE DO SUL
PREFEITURA MUNICIPAL DE BOA VSITA DO CADEADO</oddHeader>
  </headerFooter>
</worksheet>
</file>

<file path=xl/worksheets/sheet2.xml><?xml version="1.0" encoding="utf-8"?>
<worksheet xmlns="http://schemas.openxmlformats.org/spreadsheetml/2006/main" xmlns:r="http://schemas.openxmlformats.org/officeDocument/2006/relationships">
  <dimension ref="A1:H43"/>
  <sheetViews>
    <sheetView view="pageBreakPreview" zoomScale="60" zoomScaleNormal="100" workbookViewId="0">
      <selection activeCell="A2" sqref="A2:H2"/>
    </sheetView>
  </sheetViews>
  <sheetFormatPr defaultRowHeight="12.75"/>
  <cols>
    <col min="1" max="2" width="16" customWidth="1"/>
    <col min="3" max="3" width="16.7109375" customWidth="1"/>
    <col min="4" max="5" width="17" customWidth="1"/>
    <col min="6" max="6" width="16.7109375" customWidth="1"/>
    <col min="7" max="7" width="14.28515625" customWidth="1"/>
    <col min="8" max="8" width="16.7109375" customWidth="1"/>
  </cols>
  <sheetData>
    <row r="1" spans="1:8">
      <c r="A1" s="494" t="s">
        <v>81</v>
      </c>
      <c r="B1" s="494"/>
      <c r="C1" s="494"/>
      <c r="D1" s="494"/>
      <c r="E1" s="494"/>
      <c r="F1" s="494"/>
      <c r="G1" s="494"/>
      <c r="H1" s="494"/>
    </row>
    <row r="2" spans="1:8">
      <c r="A2" s="494" t="s">
        <v>192</v>
      </c>
      <c r="B2" s="494"/>
      <c r="C2" s="494"/>
      <c r="D2" s="494"/>
      <c r="E2" s="494"/>
      <c r="F2" s="494"/>
      <c r="G2" s="494"/>
      <c r="H2" s="494"/>
    </row>
    <row r="3" spans="1:8">
      <c r="A3" s="494" t="s">
        <v>196</v>
      </c>
      <c r="B3" s="494"/>
      <c r="C3" s="494"/>
      <c r="D3" s="494"/>
      <c r="E3" s="494"/>
      <c r="F3" s="494"/>
      <c r="G3" s="494"/>
      <c r="H3" s="494"/>
    </row>
    <row r="4" spans="1:8">
      <c r="A4" s="495">
        <v>2010</v>
      </c>
      <c r="B4" s="494"/>
      <c r="C4" s="494"/>
      <c r="D4" s="494"/>
      <c r="E4" s="494"/>
      <c r="F4" s="494"/>
      <c r="G4" s="494"/>
      <c r="H4" s="494"/>
    </row>
    <row r="5" spans="1:8">
      <c r="A5" s="19" t="s">
        <v>170</v>
      </c>
    </row>
    <row r="6" spans="1:8" ht="13.5" thickBot="1"/>
    <row r="7" spans="1:8" ht="14.25" thickTop="1" thickBot="1">
      <c r="A7" s="19" t="s">
        <v>171</v>
      </c>
      <c r="B7" s="498"/>
      <c r="C7" s="498"/>
      <c r="D7" s="498"/>
      <c r="E7" s="499"/>
      <c r="F7" s="20">
        <v>2010</v>
      </c>
      <c r="G7" s="21">
        <v>2011</v>
      </c>
      <c r="H7" s="22">
        <v>2012</v>
      </c>
    </row>
    <row r="8" spans="1:8">
      <c r="A8" s="496" t="s">
        <v>172</v>
      </c>
      <c r="B8" s="496"/>
      <c r="C8" s="496"/>
      <c r="D8" s="496"/>
      <c r="E8" s="497"/>
      <c r="F8" s="23">
        <v>1.0449999999999999</v>
      </c>
      <c r="G8" s="24">
        <v>1.0449999999999999</v>
      </c>
      <c r="H8" s="25">
        <v>1.0449999999999999</v>
      </c>
    </row>
    <row r="9" spans="1:8">
      <c r="A9" s="496" t="s">
        <v>173</v>
      </c>
      <c r="B9" s="496"/>
      <c r="C9" s="496"/>
      <c r="D9" s="496"/>
      <c r="E9" s="497"/>
      <c r="F9" s="26">
        <v>1</v>
      </c>
      <c r="G9" s="27">
        <v>2000</v>
      </c>
      <c r="H9" s="28">
        <v>1</v>
      </c>
    </row>
    <row r="10" spans="1:8" ht="13.5" thickBot="1">
      <c r="A10" s="496" t="s">
        <v>174</v>
      </c>
      <c r="B10" s="496"/>
      <c r="C10" s="496"/>
      <c r="D10" s="496"/>
      <c r="E10" s="497"/>
      <c r="F10" s="29">
        <v>1</v>
      </c>
      <c r="G10" s="30">
        <v>1</v>
      </c>
      <c r="H10" s="31">
        <v>1</v>
      </c>
    </row>
    <row r="11" spans="1:8" ht="14.25" thickTop="1" thickBot="1">
      <c r="A11" s="496" t="s">
        <v>175</v>
      </c>
      <c r="B11" s="496"/>
      <c r="C11" s="496"/>
      <c r="D11" s="496"/>
      <c r="E11" s="497"/>
      <c r="F11" s="32">
        <f>F8*F9*F10</f>
        <v>1.0449999999999999</v>
      </c>
      <c r="G11" s="32">
        <f>G8*G9*G10</f>
        <v>2090</v>
      </c>
      <c r="H11" s="32">
        <f>H8*H9*H10</f>
        <v>1.0449999999999999</v>
      </c>
    </row>
    <row r="12" spans="1:8" ht="14.25" thickTop="1" thickBot="1">
      <c r="A12" s="33"/>
      <c r="B12" s="33"/>
      <c r="C12" s="33"/>
      <c r="D12" s="33"/>
      <c r="E12" s="33"/>
      <c r="F12" s="33"/>
    </row>
    <row r="13" spans="1:8" ht="14.25" thickTop="1" thickBot="1">
      <c r="A13" s="34" t="s">
        <v>176</v>
      </c>
      <c r="B13" s="35">
        <v>2006</v>
      </c>
      <c r="C13" s="35">
        <v>2007</v>
      </c>
      <c r="D13" s="35">
        <v>2008</v>
      </c>
      <c r="E13" s="35">
        <v>2009</v>
      </c>
      <c r="F13" s="35">
        <v>2010</v>
      </c>
      <c r="G13" s="35">
        <v>2011</v>
      </c>
      <c r="H13" s="36">
        <v>2012</v>
      </c>
    </row>
    <row r="14" spans="1:8" ht="13.5" thickTop="1">
      <c r="A14" s="37" t="s">
        <v>177</v>
      </c>
      <c r="B14" s="38">
        <v>100</v>
      </c>
      <c r="C14" s="39">
        <v>100</v>
      </c>
      <c r="D14" s="39">
        <v>100</v>
      </c>
      <c r="E14" s="39">
        <f>((($D14/$C14)+($C14/$B14))/2)*$D14</f>
        <v>100</v>
      </c>
      <c r="F14" s="39">
        <f>E14*F$11</f>
        <v>104.5</v>
      </c>
      <c r="G14" s="40">
        <f>F14*G$11</f>
        <v>218405</v>
      </c>
      <c r="H14" s="41">
        <f>G14*H$11</f>
        <v>228233.22499999998</v>
      </c>
    </row>
    <row r="15" spans="1:8">
      <c r="A15" s="42" t="s">
        <v>178</v>
      </c>
      <c r="B15" s="43">
        <v>100</v>
      </c>
      <c r="C15" s="44">
        <v>100</v>
      </c>
      <c r="D15" s="44">
        <v>100</v>
      </c>
      <c r="E15" s="44">
        <f t="shared" ref="E15:E25" si="0">(((D15/C15)+(C15/B15))/2)*D15</f>
        <v>100</v>
      </c>
      <c r="F15" s="44">
        <f>E15*F$11</f>
        <v>104.5</v>
      </c>
      <c r="G15" s="45">
        <f t="shared" ref="G15:H25" si="1">F15*G$11</f>
        <v>218405</v>
      </c>
      <c r="H15" s="46">
        <f t="shared" si="1"/>
        <v>228233.22499999998</v>
      </c>
    </row>
    <row r="16" spans="1:8">
      <c r="A16" s="42" t="s">
        <v>179</v>
      </c>
      <c r="B16" s="43">
        <v>100</v>
      </c>
      <c r="C16" s="44">
        <v>100</v>
      </c>
      <c r="D16" s="44">
        <v>100</v>
      </c>
      <c r="E16" s="44">
        <f t="shared" si="0"/>
        <v>100</v>
      </c>
      <c r="F16" s="44">
        <f t="shared" ref="F16:F25" si="2">E16*F$11</f>
        <v>104.5</v>
      </c>
      <c r="G16" s="45">
        <f t="shared" si="1"/>
        <v>218405</v>
      </c>
      <c r="H16" s="46">
        <f t="shared" si="1"/>
        <v>228233.22499999998</v>
      </c>
    </row>
    <row r="17" spans="1:8">
      <c r="A17" s="42" t="s">
        <v>180</v>
      </c>
      <c r="B17" s="43">
        <v>15000</v>
      </c>
      <c r="C17" s="44">
        <v>1500</v>
      </c>
      <c r="D17" s="44">
        <v>40000</v>
      </c>
      <c r="E17" s="44">
        <f t="shared" si="0"/>
        <v>535333.33333333337</v>
      </c>
      <c r="F17" s="44">
        <f t="shared" si="2"/>
        <v>559423.33333333337</v>
      </c>
      <c r="G17" s="45">
        <f t="shared" si="1"/>
        <v>1169194766.6666667</v>
      </c>
      <c r="H17" s="46">
        <f t="shared" si="1"/>
        <v>1221808531.1666667</v>
      </c>
    </row>
    <row r="18" spans="1:8">
      <c r="A18" s="42" t="s">
        <v>181</v>
      </c>
      <c r="B18" s="43">
        <v>100</v>
      </c>
      <c r="C18" s="44">
        <v>100</v>
      </c>
      <c r="D18" s="44">
        <v>100</v>
      </c>
      <c r="E18" s="44">
        <f t="shared" si="0"/>
        <v>100</v>
      </c>
      <c r="F18" s="44">
        <f t="shared" si="2"/>
        <v>104.5</v>
      </c>
      <c r="G18" s="45">
        <f t="shared" si="1"/>
        <v>218405</v>
      </c>
      <c r="H18" s="46">
        <f t="shared" si="1"/>
        <v>228233.22499999998</v>
      </c>
    </row>
    <row r="19" spans="1:8">
      <c r="A19" s="42" t="s">
        <v>182</v>
      </c>
      <c r="B19" s="43">
        <v>100</v>
      </c>
      <c r="C19" s="44">
        <v>100</v>
      </c>
      <c r="D19" s="44">
        <v>100</v>
      </c>
      <c r="E19" s="44">
        <f t="shared" si="0"/>
        <v>100</v>
      </c>
      <c r="F19" s="44">
        <f t="shared" si="2"/>
        <v>104.5</v>
      </c>
      <c r="G19" s="45">
        <f t="shared" si="1"/>
        <v>218405</v>
      </c>
      <c r="H19" s="46">
        <f t="shared" si="1"/>
        <v>228233.22499999998</v>
      </c>
    </row>
    <row r="20" spans="1:8">
      <c r="A20" s="42" t="s">
        <v>183</v>
      </c>
      <c r="B20" s="43">
        <v>100</v>
      </c>
      <c r="C20" s="44">
        <v>100</v>
      </c>
      <c r="D20" s="44">
        <v>100</v>
      </c>
      <c r="E20" s="44">
        <f t="shared" si="0"/>
        <v>100</v>
      </c>
      <c r="F20" s="44">
        <f t="shared" si="2"/>
        <v>104.5</v>
      </c>
      <c r="G20" s="45">
        <f t="shared" si="1"/>
        <v>218405</v>
      </c>
      <c r="H20" s="46">
        <f t="shared" si="1"/>
        <v>228233.22499999998</v>
      </c>
    </row>
    <row r="21" spans="1:8">
      <c r="A21" s="42" t="s">
        <v>184</v>
      </c>
      <c r="B21" s="43">
        <v>100</v>
      </c>
      <c r="C21" s="44">
        <v>100</v>
      </c>
      <c r="D21" s="44">
        <v>100</v>
      </c>
      <c r="E21" s="44">
        <f t="shared" si="0"/>
        <v>100</v>
      </c>
      <c r="F21" s="44">
        <f t="shared" si="2"/>
        <v>104.5</v>
      </c>
      <c r="G21" s="45">
        <f t="shared" si="1"/>
        <v>218405</v>
      </c>
      <c r="H21" s="46">
        <f t="shared" si="1"/>
        <v>228233.22499999998</v>
      </c>
    </row>
    <row r="22" spans="1:8">
      <c r="A22" s="42" t="s">
        <v>185</v>
      </c>
      <c r="B22" s="43">
        <v>100</v>
      </c>
      <c r="C22" s="44">
        <v>100</v>
      </c>
      <c r="D22" s="44">
        <v>100</v>
      </c>
      <c r="E22" s="44">
        <f t="shared" si="0"/>
        <v>100</v>
      </c>
      <c r="F22" s="44">
        <f t="shared" si="2"/>
        <v>104.5</v>
      </c>
      <c r="G22" s="45">
        <f t="shared" si="1"/>
        <v>218405</v>
      </c>
      <c r="H22" s="46">
        <f t="shared" si="1"/>
        <v>228233.22499999998</v>
      </c>
    </row>
    <row r="23" spans="1:8">
      <c r="A23" s="42" t="s">
        <v>186</v>
      </c>
      <c r="B23" s="43">
        <v>100</v>
      </c>
      <c r="C23" s="44">
        <v>100</v>
      </c>
      <c r="D23" s="44">
        <v>100</v>
      </c>
      <c r="E23" s="44">
        <f t="shared" si="0"/>
        <v>100</v>
      </c>
      <c r="F23" s="44">
        <f t="shared" si="2"/>
        <v>104.5</v>
      </c>
      <c r="G23" s="45">
        <f t="shared" si="1"/>
        <v>218405</v>
      </c>
      <c r="H23" s="46">
        <f t="shared" si="1"/>
        <v>228233.22499999998</v>
      </c>
    </row>
    <row r="24" spans="1:8">
      <c r="A24" s="42" t="s">
        <v>187</v>
      </c>
      <c r="B24" s="43">
        <v>100</v>
      </c>
      <c r="C24" s="44">
        <v>100</v>
      </c>
      <c r="D24" s="44">
        <v>100</v>
      </c>
      <c r="E24" s="44">
        <f t="shared" si="0"/>
        <v>100</v>
      </c>
      <c r="F24" s="44">
        <f t="shared" si="2"/>
        <v>104.5</v>
      </c>
      <c r="G24" s="45">
        <f t="shared" si="1"/>
        <v>218405</v>
      </c>
      <c r="H24" s="46">
        <f t="shared" si="1"/>
        <v>228233.22499999998</v>
      </c>
    </row>
    <row r="25" spans="1:8" ht="13.5" thickBot="1">
      <c r="A25" s="47" t="s">
        <v>188</v>
      </c>
      <c r="B25" s="48">
        <v>100</v>
      </c>
      <c r="C25" s="49">
        <v>100</v>
      </c>
      <c r="D25" s="49">
        <v>100</v>
      </c>
      <c r="E25" s="49">
        <f t="shared" si="0"/>
        <v>100</v>
      </c>
      <c r="F25" s="49">
        <f t="shared" si="2"/>
        <v>104.5</v>
      </c>
      <c r="G25" s="49">
        <f t="shared" si="1"/>
        <v>218405</v>
      </c>
      <c r="H25" s="50">
        <f t="shared" si="1"/>
        <v>228233.22499999998</v>
      </c>
    </row>
    <row r="26" spans="1:8" ht="14.25" thickTop="1" thickBot="1">
      <c r="A26" s="34" t="s">
        <v>20</v>
      </c>
      <c r="B26" s="51">
        <f t="shared" ref="B26:H26" si="3">SUM(B14:B25)</f>
        <v>16100</v>
      </c>
      <c r="C26" s="51">
        <f t="shared" si="3"/>
        <v>2600</v>
      </c>
      <c r="D26" s="51">
        <f t="shared" si="3"/>
        <v>41100</v>
      </c>
      <c r="E26" s="51">
        <f t="shared" si="3"/>
        <v>536433.33333333337</v>
      </c>
      <c r="F26" s="51">
        <f t="shared" si="3"/>
        <v>560572.83333333337</v>
      </c>
      <c r="G26" s="51">
        <f t="shared" si="3"/>
        <v>1171597221.6666667</v>
      </c>
      <c r="H26" s="52">
        <f t="shared" si="3"/>
        <v>1224319096.6416659</v>
      </c>
    </row>
    <row r="27" spans="1:8" ht="8.25" customHeight="1" thickTop="1"/>
    <row r="28" spans="1:8">
      <c r="A28" s="53" t="s">
        <v>189</v>
      </c>
    </row>
    <row r="29" spans="1:8" s="4" customFormat="1">
      <c r="A29" s="10" t="s">
        <v>231</v>
      </c>
    </row>
    <row r="30" spans="1:8" s="4" customFormat="1">
      <c r="A30" s="4" t="s">
        <v>232</v>
      </c>
    </row>
    <row r="31" spans="1:8" s="4" customFormat="1">
      <c r="A31" s="10" t="s">
        <v>193</v>
      </c>
    </row>
    <row r="32" spans="1:8" s="4" customFormat="1">
      <c r="A32" s="4" t="s">
        <v>190</v>
      </c>
    </row>
    <row r="33" spans="1:2" s="4" customFormat="1">
      <c r="A33" s="10" t="s">
        <v>233</v>
      </c>
    </row>
    <row r="34" spans="1:2" s="4" customFormat="1">
      <c r="A34" s="4" t="s">
        <v>191</v>
      </c>
    </row>
    <row r="35" spans="1:2" s="4" customFormat="1">
      <c r="A35" s="10" t="s">
        <v>194</v>
      </c>
    </row>
    <row r="36" spans="1:2">
      <c r="A36" s="10" t="s">
        <v>202</v>
      </c>
    </row>
    <row r="43" spans="1:2">
      <c r="B43" s="4" t="s">
        <v>419</v>
      </c>
    </row>
  </sheetData>
  <mergeCells count="9">
    <mergeCell ref="A1:H1"/>
    <mergeCell ref="A2:H2"/>
    <mergeCell ref="A3:H3"/>
    <mergeCell ref="A4:H4"/>
    <mergeCell ref="A11:E11"/>
    <mergeCell ref="B7:E7"/>
    <mergeCell ref="A8:E8"/>
    <mergeCell ref="A9:E9"/>
    <mergeCell ref="A10:E10"/>
  </mergeCells>
  <phoneticPr fontId="6" type="noConversion"/>
  <pageMargins left="0.78740157499999996" right="0.78740157499999996" top="0.984251969" bottom="0.984251969" header="0.49212598499999999" footer="0.49212598499999999"/>
  <pageSetup paperSize="9" orientation="landscape" verticalDpi="0" r:id="rId1"/>
  <headerFooter alignWithMargins="0"/>
</worksheet>
</file>

<file path=xl/worksheets/sheet3.xml><?xml version="1.0" encoding="utf-8"?>
<worksheet xmlns="http://schemas.openxmlformats.org/spreadsheetml/2006/main" xmlns:r="http://schemas.openxmlformats.org/officeDocument/2006/relationships">
  <dimension ref="A2:E40"/>
  <sheetViews>
    <sheetView view="pageBreakPreview" zoomScale="60" zoomScaleNormal="100" workbookViewId="0">
      <selection activeCell="A2" sqref="A2:H2"/>
    </sheetView>
  </sheetViews>
  <sheetFormatPr defaultRowHeight="12"/>
  <cols>
    <col min="1" max="1" width="59" style="185" customWidth="1"/>
    <col min="2" max="2" width="25.5703125" style="185" customWidth="1"/>
    <col min="3" max="16384" width="9.140625" style="185"/>
  </cols>
  <sheetData>
    <row r="2" spans="1:2">
      <c r="A2" s="500" t="s">
        <v>81</v>
      </c>
      <c r="B2" s="500"/>
    </row>
    <row r="3" spans="1:2">
      <c r="A3" s="500" t="s">
        <v>19</v>
      </c>
      <c r="B3" s="500"/>
    </row>
    <row r="4" spans="1:2">
      <c r="A4" s="500" t="s">
        <v>77</v>
      </c>
      <c r="B4" s="500"/>
    </row>
    <row r="5" spans="1:2">
      <c r="A5" s="501">
        <v>2010</v>
      </c>
      <c r="B5" s="500"/>
    </row>
    <row r="6" spans="1:2">
      <c r="A6" s="239"/>
    </row>
    <row r="7" spans="1:2">
      <c r="A7" s="239"/>
      <c r="B7" s="240" t="s">
        <v>160</v>
      </c>
    </row>
    <row r="8" spans="1:2">
      <c r="A8" s="241" t="s">
        <v>13</v>
      </c>
      <c r="B8" s="242">
        <v>8600000</v>
      </c>
    </row>
    <row r="9" spans="1:2">
      <c r="A9" s="243" t="s">
        <v>17</v>
      </c>
      <c r="B9" s="242">
        <f>SUM(B10:B19)</f>
        <v>68000</v>
      </c>
    </row>
    <row r="10" spans="1:2">
      <c r="A10" s="244" t="s">
        <v>234</v>
      </c>
      <c r="B10" s="242">
        <v>68000</v>
      </c>
    </row>
    <row r="11" spans="1:2">
      <c r="A11" s="244" t="s">
        <v>235</v>
      </c>
      <c r="B11" s="242"/>
    </row>
    <row r="12" spans="1:2">
      <c r="A12" s="244" t="s">
        <v>236</v>
      </c>
      <c r="B12" s="242"/>
    </row>
    <row r="13" spans="1:2">
      <c r="A13" s="244" t="s">
        <v>14</v>
      </c>
      <c r="B13" s="242"/>
    </row>
    <row r="14" spans="1:2">
      <c r="A14" s="244" t="s">
        <v>162</v>
      </c>
      <c r="B14" s="242"/>
    </row>
    <row r="15" spans="1:2">
      <c r="A15" s="244" t="s">
        <v>163</v>
      </c>
      <c r="B15" s="242"/>
    </row>
    <row r="16" spans="1:2">
      <c r="A16" s="244" t="s">
        <v>15</v>
      </c>
      <c r="B16" s="242"/>
    </row>
    <row r="17" spans="1:5" s="246" customFormat="1">
      <c r="A17" s="244" t="s">
        <v>16</v>
      </c>
      <c r="B17" s="245"/>
    </row>
    <row r="18" spans="1:5">
      <c r="A18" s="244" t="s">
        <v>18</v>
      </c>
      <c r="B18" s="242"/>
    </row>
    <row r="19" spans="1:5">
      <c r="A19" s="244" t="s">
        <v>241</v>
      </c>
      <c r="B19" s="242"/>
    </row>
    <row r="20" spans="1:5" ht="14.25" customHeight="1">
      <c r="A20" s="247" t="s">
        <v>237</v>
      </c>
      <c r="B20" s="242">
        <f>B8-B9</f>
        <v>8532000</v>
      </c>
      <c r="E20" s="248"/>
    </row>
    <row r="21" spans="1:5" ht="15.75" customHeight="1">
      <c r="A21" s="247" t="s">
        <v>238</v>
      </c>
      <c r="B21" s="242">
        <v>640000</v>
      </c>
      <c r="E21" s="248"/>
    </row>
    <row r="22" spans="1:5" ht="15" customHeight="1">
      <c r="A22" s="241" t="s">
        <v>239</v>
      </c>
      <c r="B22" s="242">
        <f>B8-B9+B21</f>
        <v>9172000</v>
      </c>
      <c r="E22" s="248"/>
    </row>
    <row r="23" spans="1:5" ht="12.75" customHeight="1">
      <c r="A23" s="249" t="s">
        <v>439</v>
      </c>
      <c r="E23" s="248"/>
    </row>
    <row r="24" spans="1:5" ht="12.75" customHeight="1">
      <c r="A24" s="250" t="s">
        <v>199</v>
      </c>
      <c r="E24" s="248"/>
    </row>
    <row r="25" spans="1:5" ht="13.5" customHeight="1">
      <c r="A25" s="185" t="s">
        <v>200</v>
      </c>
      <c r="E25" s="248"/>
    </row>
    <row r="26" spans="1:5" ht="14.25" customHeight="1">
      <c r="A26" s="185" t="s">
        <v>197</v>
      </c>
      <c r="E26" s="248"/>
    </row>
    <row r="27" spans="1:5" ht="12.75" customHeight="1">
      <c r="A27" s="185" t="s">
        <v>198</v>
      </c>
      <c r="E27" s="248"/>
    </row>
    <row r="28" spans="1:5">
      <c r="A28" s="185" t="s">
        <v>201</v>
      </c>
    </row>
    <row r="29" spans="1:5">
      <c r="A29" s="185" t="s">
        <v>240</v>
      </c>
    </row>
    <row r="30" spans="1:5">
      <c r="A30" s="185" t="s">
        <v>527</v>
      </c>
    </row>
    <row r="31" spans="1:5">
      <c r="A31" s="185" t="s">
        <v>420</v>
      </c>
    </row>
    <row r="35" spans="1:2" ht="12.75">
      <c r="A35" s="183" t="s">
        <v>408</v>
      </c>
    </row>
    <row r="36" spans="1:2" ht="12.75">
      <c r="A36" s="183"/>
    </row>
    <row r="37" spans="1:2" ht="12.75">
      <c r="A37" s="183"/>
    </row>
    <row r="38" spans="1:2" ht="12.75">
      <c r="A38" s="183"/>
    </row>
    <row r="39" spans="1:2" ht="12.75">
      <c r="A39" s="183" t="s">
        <v>421</v>
      </c>
      <c r="B39" s="185" t="s">
        <v>423</v>
      </c>
    </row>
    <row r="40" spans="1:2" ht="12.75">
      <c r="A40" s="183" t="s">
        <v>422</v>
      </c>
      <c r="B40" s="185" t="s">
        <v>424</v>
      </c>
    </row>
  </sheetData>
  <mergeCells count="4">
    <mergeCell ref="A3:B3"/>
    <mergeCell ref="A4:B4"/>
    <mergeCell ref="A5:B5"/>
    <mergeCell ref="A2:B2"/>
  </mergeCells>
  <phoneticPr fontId="6" type="noConversion"/>
  <pageMargins left="0.78740157499999996" right="0.42" top="0.984251969" bottom="0.984251969" header="0.49212598499999999" footer="0.49212598499999999"/>
  <pageSetup paperSize="9" orientation="portrait" verticalDpi="1200" r:id="rId1"/>
  <headerFooter alignWithMargins="0">
    <oddHeader>&amp;L&amp;"Times New Roman,Normal"ESTADO DO RIO GRANDE DO SUL
PREFEITURA MUNICIPAL DE BOA VISTA DO CADEADO</oddHeader>
  </headerFooter>
</worksheet>
</file>

<file path=xl/worksheets/sheet4.xml><?xml version="1.0" encoding="utf-8"?>
<worksheet xmlns="http://schemas.openxmlformats.org/spreadsheetml/2006/main" xmlns:r="http://schemas.openxmlformats.org/officeDocument/2006/relationships">
  <sheetPr codeName="Plan14"/>
  <dimension ref="A1:J74"/>
  <sheetViews>
    <sheetView view="pageBreakPreview" topLeftCell="A39" zoomScale="60" zoomScaleNormal="100" workbookViewId="0">
      <selection activeCell="A2" sqref="A2:H2"/>
    </sheetView>
  </sheetViews>
  <sheetFormatPr defaultRowHeight="11.25" customHeight="1"/>
  <cols>
    <col min="1" max="1" width="28.85546875" style="106" customWidth="1"/>
    <col min="2" max="2" width="13" style="106" customWidth="1"/>
    <col min="3" max="3" width="12.7109375" style="106" customWidth="1"/>
    <col min="4" max="4" width="10.42578125" style="106" customWidth="1"/>
    <col min="5" max="5" width="14.85546875" style="106" customWidth="1"/>
    <col min="6" max="6" width="12.140625" style="106" customWidth="1"/>
    <col min="7" max="7" width="10" style="106" customWidth="1"/>
    <col min="8" max="8" width="12" style="106" customWidth="1"/>
    <col min="9" max="9" width="12.28515625" style="106" customWidth="1"/>
    <col min="10" max="10" width="9.28515625" style="106" customWidth="1"/>
    <col min="11" max="16384" width="9.140625" style="106"/>
  </cols>
  <sheetData>
    <row r="1" spans="1:10" ht="11.25" customHeight="1">
      <c r="A1" s="2"/>
      <c r="B1" s="2"/>
      <c r="C1" s="2"/>
      <c r="D1" s="2"/>
      <c r="E1" s="2"/>
      <c r="F1" s="2"/>
      <c r="G1" s="2"/>
      <c r="H1" s="2"/>
      <c r="I1" s="2"/>
      <c r="J1" s="2"/>
    </row>
    <row r="2" spans="1:10" ht="13.5" customHeight="1">
      <c r="A2" s="502" t="s">
        <v>32</v>
      </c>
      <c r="B2" s="503"/>
      <c r="C2" s="503"/>
      <c r="D2" s="503"/>
      <c r="E2" s="503"/>
      <c r="F2" s="503"/>
      <c r="G2" s="503"/>
      <c r="H2" s="503"/>
      <c r="I2" s="503"/>
      <c r="J2" s="504"/>
    </row>
    <row r="3" spans="1:10" ht="13.5" customHeight="1">
      <c r="A3" s="502" t="s">
        <v>136</v>
      </c>
      <c r="B3" s="503"/>
      <c r="C3" s="503"/>
      <c r="D3" s="503"/>
      <c r="E3" s="503"/>
      <c r="F3" s="503"/>
      <c r="G3" s="503"/>
      <c r="H3" s="503"/>
      <c r="I3" s="503"/>
      <c r="J3" s="504"/>
    </row>
    <row r="4" spans="1:10" s="263" customFormat="1" ht="17.25" customHeight="1">
      <c r="A4" s="502" t="s">
        <v>252</v>
      </c>
      <c r="B4" s="503"/>
      <c r="C4" s="503"/>
      <c r="D4" s="503"/>
      <c r="E4" s="503"/>
      <c r="F4" s="503"/>
      <c r="G4" s="503"/>
      <c r="H4" s="503"/>
      <c r="I4" s="503"/>
      <c r="J4" s="504"/>
    </row>
    <row r="5" spans="1:10" s="263" customFormat="1" ht="15">
      <c r="A5" s="502" t="s">
        <v>25</v>
      </c>
      <c r="B5" s="503"/>
      <c r="C5" s="503"/>
      <c r="D5" s="503"/>
      <c r="E5" s="503"/>
      <c r="F5" s="503"/>
      <c r="G5" s="503"/>
      <c r="H5" s="503"/>
      <c r="I5" s="503"/>
      <c r="J5" s="504"/>
    </row>
    <row r="6" spans="1:10" ht="11.25" customHeight="1">
      <c r="A6" s="505">
        <v>2010</v>
      </c>
      <c r="B6" s="506"/>
      <c r="C6" s="506"/>
      <c r="D6" s="506"/>
      <c r="E6" s="506"/>
      <c r="F6" s="506"/>
      <c r="G6" s="506"/>
      <c r="H6" s="506"/>
      <c r="I6" s="506"/>
      <c r="J6" s="507"/>
    </row>
    <row r="7" spans="1:10" ht="11.25" customHeight="1">
      <c r="A7" s="508"/>
      <c r="B7" s="508"/>
      <c r="C7" s="508"/>
      <c r="D7" s="508"/>
      <c r="E7" s="508"/>
      <c r="F7" s="508"/>
      <c r="G7" s="508"/>
      <c r="H7" s="508"/>
      <c r="I7" s="508"/>
      <c r="J7" s="508"/>
    </row>
    <row r="8" spans="1:10" ht="11.25" customHeight="1">
      <c r="A8" s="264" t="s">
        <v>22</v>
      </c>
      <c r="B8" s="513"/>
      <c r="C8" s="513"/>
      <c r="D8" s="513"/>
      <c r="E8" s="513"/>
      <c r="F8" s="513"/>
      <c r="G8" s="513"/>
      <c r="H8" s="514">
        <v>1</v>
      </c>
      <c r="I8" s="515"/>
      <c r="J8" s="515"/>
    </row>
    <row r="9" spans="1:10" s="265" customFormat="1" ht="11.25" customHeight="1">
      <c r="A9" s="516" t="s">
        <v>78</v>
      </c>
      <c r="B9" s="519">
        <v>2010</v>
      </c>
      <c r="C9" s="520"/>
      <c r="D9" s="521"/>
      <c r="E9" s="519">
        <v>2011</v>
      </c>
      <c r="F9" s="520"/>
      <c r="G9" s="521"/>
      <c r="H9" s="519">
        <v>2012</v>
      </c>
      <c r="I9" s="520"/>
      <c r="J9" s="520"/>
    </row>
    <row r="10" spans="1:10" ht="11.25" customHeight="1">
      <c r="A10" s="517"/>
      <c r="B10" s="266" t="s">
        <v>83</v>
      </c>
      <c r="C10" s="267" t="s">
        <v>83</v>
      </c>
      <c r="D10" s="267" t="s">
        <v>84</v>
      </c>
      <c r="E10" s="267" t="s">
        <v>83</v>
      </c>
      <c r="F10" s="267" t="s">
        <v>83</v>
      </c>
      <c r="G10" s="267" t="s">
        <v>84</v>
      </c>
      <c r="H10" s="267" t="s">
        <v>83</v>
      </c>
      <c r="I10" s="267" t="s">
        <v>83</v>
      </c>
      <c r="J10" s="268" t="s">
        <v>84</v>
      </c>
    </row>
    <row r="11" spans="1:10" ht="11.25" customHeight="1">
      <c r="A11" s="517"/>
      <c r="B11" s="269" t="s">
        <v>85</v>
      </c>
      <c r="C11" s="270" t="s">
        <v>86</v>
      </c>
      <c r="D11" s="270" t="s">
        <v>87</v>
      </c>
      <c r="E11" s="270" t="s">
        <v>85</v>
      </c>
      <c r="F11" s="270" t="s">
        <v>86</v>
      </c>
      <c r="G11" s="270" t="s">
        <v>88</v>
      </c>
      <c r="H11" s="270" t="s">
        <v>85</v>
      </c>
      <c r="I11" s="270" t="s">
        <v>86</v>
      </c>
      <c r="J11" s="271" t="s">
        <v>89</v>
      </c>
    </row>
    <row r="12" spans="1:10" ht="11.25" customHeight="1">
      <c r="A12" s="518"/>
      <c r="B12" s="272" t="s">
        <v>58</v>
      </c>
      <c r="C12" s="273"/>
      <c r="D12" s="274" t="s">
        <v>90</v>
      </c>
      <c r="E12" s="274" t="s">
        <v>59</v>
      </c>
      <c r="F12" s="273"/>
      <c r="G12" s="274" t="s">
        <v>90</v>
      </c>
      <c r="H12" s="274" t="s">
        <v>60</v>
      </c>
      <c r="I12" s="273"/>
      <c r="J12" s="275" t="s">
        <v>90</v>
      </c>
    </row>
    <row r="13" spans="1:10" ht="11.25" customHeight="1">
      <c r="A13" s="276" t="s">
        <v>96</v>
      </c>
      <c r="B13" s="277">
        <v>8539200</v>
      </c>
      <c r="C13" s="277">
        <f>B13/(1+B$67)-0.25</f>
        <v>8171483.0035885172</v>
      </c>
      <c r="D13" s="294">
        <f>B13/226141000000*100</f>
        <v>3.7760512246784086E-3</v>
      </c>
      <c r="E13" s="277">
        <v>8837000</v>
      </c>
      <c r="F13" s="277">
        <f>E13/((1+B$67)*(1+C$67))-0.58</f>
        <v>8092304.9990847297</v>
      </c>
      <c r="G13" s="294">
        <f>E13/246951000000*100</f>
        <v>3.5784426870107832E-3</v>
      </c>
      <c r="H13" s="277">
        <v>9134200</v>
      </c>
      <c r="I13" s="277">
        <f>(H13/((1+E$67)*(1+F$67)*(1+D$67)))-0.24</f>
        <v>8740861.0040191393</v>
      </c>
      <c r="J13" s="295">
        <f t="shared" ref="J13:J18" si="0">H13/269677000000*100</f>
        <v>3.3870889990618405E-3</v>
      </c>
    </row>
    <row r="14" spans="1:10" ht="11.25" customHeight="1">
      <c r="A14" s="276" t="s">
        <v>97</v>
      </c>
      <c r="B14" s="277">
        <v>8539200</v>
      </c>
      <c r="C14" s="277">
        <f>B14/(1+B$67)-0.25</f>
        <v>8171483.0035885172</v>
      </c>
      <c r="D14" s="294">
        <f t="shared" ref="D14:D20" si="1">B14/226141000000*100</f>
        <v>3.7760512246784086E-3</v>
      </c>
      <c r="E14" s="277">
        <v>8837000</v>
      </c>
      <c r="F14" s="277">
        <f>E14/((1+B$67)*(1+C$67))-0.58</f>
        <v>8092304.9990847297</v>
      </c>
      <c r="G14" s="294">
        <f t="shared" ref="G14:G20" si="2">E14/226141000000*100</f>
        <v>3.9077389770099183E-3</v>
      </c>
      <c r="H14" s="277">
        <v>9134200</v>
      </c>
      <c r="I14" s="277">
        <f>(H14/((1+E$67)*(1+F$67)*(1+D$67)))-0.24</f>
        <v>8740861.0040191393</v>
      </c>
      <c r="J14" s="295">
        <f t="shared" si="0"/>
        <v>3.3870889990618405E-3</v>
      </c>
    </row>
    <row r="15" spans="1:10" ht="11.25" customHeight="1">
      <c r="A15" s="276" t="s">
        <v>98</v>
      </c>
      <c r="B15" s="277">
        <v>8600000</v>
      </c>
      <c r="C15" s="277">
        <f>B15/(1+B$67)-0.07</f>
        <v>8229665.0017703352</v>
      </c>
      <c r="D15" s="294">
        <f t="shared" si="1"/>
        <v>3.8029371056111012E-3</v>
      </c>
      <c r="E15" s="277">
        <v>8900000</v>
      </c>
      <c r="F15" s="277">
        <f>E15/((1+B$67)*(1+C$67))-0.57</f>
        <v>8149995.996012684</v>
      </c>
      <c r="G15" s="294">
        <f t="shared" si="2"/>
        <v>3.9355977023184654E-3</v>
      </c>
      <c r="H15" s="277">
        <v>9200000</v>
      </c>
      <c r="I15" s="277">
        <f>(H15/((1+E$67)*(1+F$67)*(1+D$67)))-0.75</f>
        <v>8803827.0011961721</v>
      </c>
      <c r="J15" s="295">
        <f t="shared" si="0"/>
        <v>3.4114885585348398E-3</v>
      </c>
    </row>
    <row r="16" spans="1:10" ht="11.25" customHeight="1">
      <c r="A16" s="276" t="s">
        <v>91</v>
      </c>
      <c r="B16" s="277">
        <v>8600000</v>
      </c>
      <c r="C16" s="277">
        <f>B16/(1+B$67)-0.07</f>
        <v>8229665.0017703352</v>
      </c>
      <c r="D16" s="294">
        <f t="shared" si="1"/>
        <v>3.8029371056111012E-3</v>
      </c>
      <c r="E16" s="277">
        <v>8900000</v>
      </c>
      <c r="F16" s="277">
        <f>E16/((1+B$67)*(1+C$67))-0.57</f>
        <v>8149995.996012684</v>
      </c>
      <c r="G16" s="294">
        <f t="shared" si="2"/>
        <v>3.9355977023184654E-3</v>
      </c>
      <c r="H16" s="277">
        <v>9200000</v>
      </c>
      <c r="I16" s="277">
        <f>(H16/((1+E$67)*(1+F$67)*(1+D$67)))-0.75</f>
        <v>8803827.0011961721</v>
      </c>
      <c r="J16" s="295">
        <f t="shared" si="0"/>
        <v>3.4114885585348398E-3</v>
      </c>
    </row>
    <row r="17" spans="1:10" ht="11.25" customHeight="1">
      <c r="A17" s="276" t="s">
        <v>26</v>
      </c>
      <c r="B17" s="277">
        <f>B14-B16</f>
        <v>-60800</v>
      </c>
      <c r="C17" s="277">
        <f>(B17/(1+B$67))+0.82</f>
        <v>-58180.998181818184</v>
      </c>
      <c r="D17" s="294">
        <f t="shared" si="1"/>
        <v>-2.6885880932692435E-5</v>
      </c>
      <c r="E17" s="277">
        <f>E14-E16</f>
        <v>-63000</v>
      </c>
      <c r="F17" s="277">
        <f>E17/((1+B$67)*(1+C$67))+0.99</f>
        <v>-57689.996927954955</v>
      </c>
      <c r="G17" s="294">
        <f t="shared" si="2"/>
        <v>-2.7858725308546442E-5</v>
      </c>
      <c r="H17" s="277">
        <f>H14-H16</f>
        <v>-65800</v>
      </c>
      <c r="I17" s="277">
        <f>(H17/((1+E$67)*(1+F$67)*(1+D$67)))-0.49</f>
        <v>-62966.997177033496</v>
      </c>
      <c r="J17" s="295">
        <f t="shared" si="0"/>
        <v>-2.439955947299918E-5</v>
      </c>
    </row>
    <row r="18" spans="1:10" ht="11.25" customHeight="1">
      <c r="A18" s="276" t="s">
        <v>12</v>
      </c>
      <c r="B18" s="277">
        <v>298872</v>
      </c>
      <c r="C18" s="277">
        <f>B18/(1+B$67)-1.91</f>
        <v>286000.00387559814</v>
      </c>
      <c r="D18" s="294">
        <f t="shared" si="1"/>
        <v>1.321617928637443E-4</v>
      </c>
      <c r="E18" s="277">
        <v>63000</v>
      </c>
      <c r="F18" s="277">
        <f>E18/((1+B$67)*(1+C$67))-0.99</f>
        <v>57689.996927954955</v>
      </c>
      <c r="G18" s="294">
        <f t="shared" si="2"/>
        <v>2.7858725308546442E-5</v>
      </c>
      <c r="H18" s="277">
        <v>65800</v>
      </c>
      <c r="I18" s="277">
        <f>(H18/((1+E$67)*(1+F$67)*(1+D$67)))+0.49</f>
        <v>62966.997177033496</v>
      </c>
      <c r="J18" s="295">
        <f t="shared" si="0"/>
        <v>2.439955947299918E-5</v>
      </c>
    </row>
    <row r="19" spans="1:10" ht="11.25" customHeight="1">
      <c r="A19" s="276" t="s">
        <v>99</v>
      </c>
      <c r="B19" s="277">
        <v>0</v>
      </c>
      <c r="C19" s="277">
        <f>B19/(1+B$67)</f>
        <v>0</v>
      </c>
      <c r="D19" s="294">
        <f t="shared" si="1"/>
        <v>0</v>
      </c>
      <c r="E19" s="277"/>
      <c r="F19" s="277">
        <f>E19/(1+D$67)</f>
        <v>0</v>
      </c>
      <c r="G19" s="294">
        <f t="shared" si="2"/>
        <v>0</v>
      </c>
      <c r="H19" s="277"/>
      <c r="I19" s="277">
        <f>H19/(1+H$67)</f>
        <v>0</v>
      </c>
      <c r="J19" s="278"/>
    </row>
    <row r="20" spans="1:10" ht="11.25" customHeight="1">
      <c r="A20" s="279" t="s">
        <v>27</v>
      </c>
      <c r="B20" s="280">
        <v>60800</v>
      </c>
      <c r="C20" s="277">
        <v>58181</v>
      </c>
      <c r="D20" s="294">
        <f t="shared" si="1"/>
        <v>2.6885880932692435E-5</v>
      </c>
      <c r="E20" s="280">
        <v>123800</v>
      </c>
      <c r="F20" s="277">
        <f>E20/((1+B$67)*(1+C$67))-0.37</f>
        <v>113366.99796318768</v>
      </c>
      <c r="G20" s="294">
        <f t="shared" si="2"/>
        <v>5.4744606241238874E-5</v>
      </c>
      <c r="H20" s="280">
        <v>189600</v>
      </c>
      <c r="I20" s="277">
        <f>(H20/((1+E$67)*(1+F$67)*(1+D$67)))-0.41</f>
        <v>181434.99669856459</v>
      </c>
      <c r="J20" s="295">
        <f>H20/269677000000*100</f>
        <v>7.0306329423718E-5</v>
      </c>
    </row>
    <row r="21" spans="1:10" ht="11.25" customHeight="1">
      <c r="A21" s="512" t="s">
        <v>440</v>
      </c>
      <c r="B21" s="512"/>
      <c r="C21" s="512"/>
      <c r="D21" s="512"/>
      <c r="E21" s="512"/>
      <c r="F21" s="512"/>
      <c r="G21" s="512"/>
      <c r="H21" s="512"/>
      <c r="I21" s="512"/>
      <c r="J21" s="512"/>
    </row>
    <row r="22" spans="1:10" ht="11.25" customHeight="1">
      <c r="A22" s="250"/>
      <c r="B22" s="250"/>
      <c r="C22" s="250"/>
      <c r="D22" s="250"/>
      <c r="E22" s="250"/>
      <c r="F22" s="250"/>
      <c r="G22" s="250"/>
      <c r="H22" s="250"/>
      <c r="I22" s="250"/>
      <c r="J22" s="250"/>
    </row>
    <row r="23" spans="1:10" ht="11.25" customHeight="1">
      <c r="A23" s="106" t="s">
        <v>169</v>
      </c>
    </row>
    <row r="24" spans="1:10" ht="11.25" customHeight="1">
      <c r="A24" s="114" t="s">
        <v>415</v>
      </c>
      <c r="B24" s="114"/>
      <c r="C24" s="115"/>
      <c r="D24" s="115"/>
      <c r="E24" s="115"/>
      <c r="F24" s="115"/>
      <c r="G24" s="115"/>
      <c r="H24" s="115"/>
    </row>
    <row r="25" spans="1:10" ht="11.25" customHeight="1">
      <c r="A25" s="110" t="s">
        <v>387</v>
      </c>
      <c r="B25" s="522" t="s">
        <v>394</v>
      </c>
      <c r="C25" s="522"/>
      <c r="D25" s="522" t="s">
        <v>399</v>
      </c>
      <c r="E25" s="522"/>
      <c r="F25" s="183"/>
      <c r="G25" s="183"/>
      <c r="H25" s="183"/>
    </row>
    <row r="26" spans="1:10" ht="11.25" customHeight="1">
      <c r="A26" s="111" t="s">
        <v>388</v>
      </c>
      <c r="B26" s="111" t="s">
        <v>395</v>
      </c>
      <c r="C26" s="183"/>
      <c r="D26" s="293" t="s">
        <v>400</v>
      </c>
      <c r="E26" s="183"/>
      <c r="F26" s="183"/>
      <c r="G26" s="183"/>
      <c r="H26" s="183"/>
    </row>
    <row r="27" spans="1:10" ht="11.25" customHeight="1">
      <c r="A27" s="111" t="s">
        <v>389</v>
      </c>
      <c r="B27" s="111" t="s">
        <v>396</v>
      </c>
      <c r="C27" s="183"/>
      <c r="D27" s="293" t="s">
        <v>401</v>
      </c>
      <c r="E27" s="183"/>
      <c r="F27" s="287"/>
      <c r="G27" s="183"/>
      <c r="H27" s="183"/>
    </row>
    <row r="28" spans="1:10" ht="11.25" customHeight="1">
      <c r="A28" s="111" t="s">
        <v>390</v>
      </c>
      <c r="B28" s="111" t="s">
        <v>397</v>
      </c>
      <c r="C28" s="183"/>
      <c r="D28" s="293" t="s">
        <v>402</v>
      </c>
      <c r="E28" s="183"/>
      <c r="F28" s="356"/>
      <c r="G28" s="183"/>
      <c r="H28" s="183"/>
    </row>
    <row r="29" spans="1:10" ht="11.25" customHeight="1">
      <c r="A29" s="111" t="s">
        <v>391</v>
      </c>
      <c r="B29" s="111" t="s">
        <v>398</v>
      </c>
      <c r="C29" s="183"/>
      <c r="D29" s="293" t="s">
        <v>403</v>
      </c>
      <c r="E29" s="183"/>
      <c r="F29" s="183"/>
      <c r="G29" s="183"/>
      <c r="H29" s="183"/>
    </row>
    <row r="30" spans="1:10" ht="11.25" customHeight="1">
      <c r="A30" s="111" t="s">
        <v>392</v>
      </c>
      <c r="B30" s="183"/>
      <c r="C30" s="183"/>
      <c r="D30" s="113"/>
      <c r="E30" s="183"/>
      <c r="F30" s="183"/>
      <c r="G30" s="183"/>
      <c r="H30" s="183"/>
    </row>
    <row r="31" spans="1:10" ht="11.25" customHeight="1">
      <c r="A31" s="111" t="s">
        <v>393</v>
      </c>
      <c r="B31" s="183"/>
      <c r="C31" s="183"/>
      <c r="D31" s="183"/>
      <c r="E31" s="183"/>
      <c r="F31" s="183"/>
      <c r="G31" s="183"/>
      <c r="H31" s="183"/>
    </row>
    <row r="32" spans="1:10" ht="11.25" customHeight="1">
      <c r="B32" s="183"/>
      <c r="C32" s="183"/>
      <c r="D32" s="183"/>
      <c r="E32" s="183"/>
      <c r="F32" s="183"/>
      <c r="G32" s="183"/>
      <c r="H32" s="183"/>
    </row>
    <row r="33" spans="1:8" ht="11.25" customHeight="1">
      <c r="A33" s="117" t="s">
        <v>416</v>
      </c>
      <c r="B33" s="116"/>
      <c r="C33" s="116"/>
      <c r="D33" s="116"/>
      <c r="E33" s="183"/>
      <c r="F33" s="183"/>
      <c r="G33" s="183"/>
      <c r="H33" s="183"/>
    </row>
    <row r="34" spans="1:8" ht="11.25" customHeight="1">
      <c r="A34" s="114" t="s">
        <v>417</v>
      </c>
      <c r="B34" s="114"/>
      <c r="C34" s="114"/>
      <c r="D34" s="237"/>
      <c r="E34" s="183"/>
      <c r="F34" s="183"/>
      <c r="G34" s="183"/>
      <c r="H34" s="183"/>
    </row>
    <row r="35" spans="1:8" ht="11.25" customHeight="1">
      <c r="A35" s="110" t="s">
        <v>418</v>
      </c>
      <c r="B35" s="183"/>
      <c r="C35" s="183"/>
      <c r="D35" s="183"/>
      <c r="E35" s="183"/>
      <c r="F35" s="183"/>
      <c r="G35" s="183"/>
      <c r="H35" s="183"/>
    </row>
    <row r="36" spans="1:8" ht="11.25" customHeight="1">
      <c r="A36" s="183"/>
      <c r="B36" s="183"/>
      <c r="C36" s="183"/>
      <c r="D36" s="183"/>
      <c r="E36" s="183"/>
      <c r="F36" s="183"/>
      <c r="G36" s="183"/>
      <c r="H36" s="183"/>
    </row>
    <row r="37" spans="1:8" ht="11.25" customHeight="1">
      <c r="A37" s="183"/>
      <c r="B37" s="183"/>
      <c r="C37" s="183"/>
      <c r="D37" s="183"/>
      <c r="E37" s="183"/>
      <c r="F37" s="183"/>
      <c r="G37" s="183"/>
      <c r="H37" s="183"/>
    </row>
    <row r="38" spans="1:8" ht="11.25" customHeight="1">
      <c r="A38" s="183" t="s">
        <v>408</v>
      </c>
      <c r="B38" s="183"/>
      <c r="C38" s="183"/>
      <c r="D38" s="183"/>
      <c r="E38" s="183"/>
      <c r="F38" s="183"/>
      <c r="G38" s="183"/>
      <c r="H38" s="183"/>
    </row>
    <row r="39" spans="1:8" ht="11.25" customHeight="1">
      <c r="A39" s="183"/>
      <c r="B39" s="183"/>
      <c r="C39" s="183"/>
      <c r="D39" s="183"/>
      <c r="E39" s="183"/>
      <c r="F39" s="183"/>
      <c r="G39" s="183"/>
      <c r="H39" s="183"/>
    </row>
    <row r="40" spans="1:8" ht="11.25" customHeight="1">
      <c r="A40" s="183"/>
      <c r="B40" s="183"/>
      <c r="C40" s="183"/>
      <c r="D40" s="183"/>
      <c r="E40" s="183"/>
      <c r="F40" s="183"/>
      <c r="G40" s="183"/>
      <c r="H40" s="183"/>
    </row>
    <row r="41" spans="1:8" ht="11.25" customHeight="1">
      <c r="A41" s="183"/>
      <c r="B41" s="183"/>
      <c r="C41" s="183"/>
      <c r="D41" s="183"/>
      <c r="E41" s="183"/>
      <c r="F41" s="183"/>
      <c r="G41" s="183"/>
      <c r="H41" s="183"/>
    </row>
    <row r="42" spans="1:8" ht="11.25" customHeight="1">
      <c r="A42" s="183" t="s">
        <v>409</v>
      </c>
      <c r="B42" s="183"/>
      <c r="C42" s="183" t="s">
        <v>411</v>
      </c>
      <c r="D42" s="183"/>
      <c r="E42" s="183"/>
      <c r="F42" s="183" t="s">
        <v>413</v>
      </c>
      <c r="G42" s="183"/>
      <c r="H42" s="183"/>
    </row>
    <row r="43" spans="1:8" ht="11.25" customHeight="1">
      <c r="A43" s="183" t="s">
        <v>410</v>
      </c>
      <c r="B43" s="183"/>
      <c r="C43" s="183" t="s">
        <v>412</v>
      </c>
      <c r="D43" s="183"/>
      <c r="E43" s="183"/>
      <c r="F43" s="183" t="s">
        <v>414</v>
      </c>
      <c r="G43" s="183"/>
      <c r="H43" s="183"/>
    </row>
    <row r="44" spans="1:8" ht="11.25" customHeight="1">
      <c r="A44" s="183"/>
      <c r="B44" s="183"/>
      <c r="C44" s="183"/>
      <c r="D44" s="183"/>
      <c r="E44" s="183"/>
      <c r="F44" s="183"/>
      <c r="G44" s="183"/>
      <c r="H44" s="183"/>
    </row>
    <row r="45" spans="1:8" ht="11.25" customHeight="1">
      <c r="A45" s="183"/>
      <c r="B45" s="183"/>
      <c r="C45" s="183"/>
      <c r="D45" s="183"/>
      <c r="E45" s="183"/>
      <c r="F45" s="183"/>
      <c r="G45" s="183"/>
      <c r="H45" s="183"/>
    </row>
    <row r="46" spans="1:8" ht="11.25" customHeight="1">
      <c r="A46" s="183"/>
      <c r="B46" s="183"/>
      <c r="C46" s="183"/>
      <c r="D46" s="183"/>
      <c r="E46" s="183"/>
      <c r="F46" s="183"/>
      <c r="G46" s="183"/>
      <c r="H46" s="183"/>
    </row>
    <row r="47" spans="1:8" ht="11.25" customHeight="1">
      <c r="A47" s="183"/>
      <c r="B47" s="183"/>
      <c r="C47" s="183"/>
      <c r="D47" s="183"/>
      <c r="E47" s="183"/>
      <c r="F47" s="183"/>
      <c r="G47" s="183"/>
      <c r="H47" s="183"/>
    </row>
    <row r="48" spans="1:8" ht="11.25" customHeight="1">
      <c r="A48" s="183"/>
      <c r="B48" s="183"/>
      <c r="C48" s="183"/>
      <c r="D48" s="183"/>
      <c r="E48" s="183"/>
      <c r="F48" s="183"/>
      <c r="G48" s="183"/>
      <c r="H48" s="183"/>
    </row>
    <row r="49" spans="1:8" ht="11.25" customHeight="1">
      <c r="A49" s="183"/>
      <c r="B49" s="183"/>
      <c r="C49" s="183"/>
      <c r="D49" s="183"/>
      <c r="E49" s="183"/>
      <c r="F49" s="183"/>
      <c r="G49" s="183"/>
      <c r="H49" s="183"/>
    </row>
    <row r="50" spans="1:8" ht="11.25" customHeight="1">
      <c r="A50" s="183"/>
      <c r="B50" s="183"/>
      <c r="C50" s="183"/>
      <c r="D50" s="183"/>
      <c r="E50" s="183"/>
      <c r="F50" s="183"/>
      <c r="G50" s="183"/>
      <c r="H50" s="183"/>
    </row>
    <row r="51" spans="1:8" ht="11.25" customHeight="1">
      <c r="A51" s="183"/>
      <c r="B51" s="183"/>
      <c r="C51" s="183"/>
      <c r="D51" s="183"/>
      <c r="E51" s="183"/>
      <c r="F51" s="183"/>
      <c r="G51" s="183"/>
      <c r="H51" s="183"/>
    </row>
    <row r="52" spans="1:8" ht="11.25" customHeight="1">
      <c r="A52" s="183"/>
      <c r="B52" s="183"/>
      <c r="C52" s="183"/>
      <c r="D52" s="183"/>
      <c r="E52" s="183"/>
      <c r="F52" s="183"/>
      <c r="G52" s="183"/>
      <c r="H52" s="183"/>
    </row>
    <row r="53" spans="1:8" ht="11.25" customHeight="1">
      <c r="A53" s="183"/>
      <c r="B53" s="183"/>
      <c r="C53" s="183"/>
      <c r="D53" s="183"/>
      <c r="E53" s="183"/>
      <c r="F53" s="183"/>
      <c r="G53" s="183"/>
      <c r="H53" s="183"/>
    </row>
    <row r="54" spans="1:8" ht="11.25" customHeight="1">
      <c r="A54" s="183"/>
      <c r="B54" s="183"/>
      <c r="C54" s="183"/>
      <c r="D54" s="183"/>
      <c r="E54" s="183"/>
      <c r="F54" s="183"/>
      <c r="G54" s="183"/>
      <c r="H54" s="183"/>
    </row>
    <row r="55" spans="1:8" ht="11.25" customHeight="1">
      <c r="A55" s="183"/>
      <c r="B55" s="183"/>
      <c r="C55" s="183"/>
      <c r="D55" s="183"/>
      <c r="E55" s="183"/>
      <c r="F55" s="183"/>
      <c r="G55" s="183"/>
      <c r="H55" s="183"/>
    </row>
    <row r="56" spans="1:8" ht="11.25" customHeight="1">
      <c r="A56" s="183"/>
      <c r="B56" s="183"/>
      <c r="C56" s="183"/>
      <c r="D56" s="183"/>
      <c r="E56" s="183"/>
      <c r="F56" s="183"/>
      <c r="G56" s="183"/>
      <c r="H56" s="183"/>
    </row>
    <row r="57" spans="1:8" ht="11.25" customHeight="1">
      <c r="A57" s="183"/>
      <c r="B57" s="183"/>
      <c r="C57" s="183"/>
      <c r="D57" s="183"/>
      <c r="E57" s="183"/>
      <c r="F57" s="183"/>
      <c r="G57" s="183"/>
      <c r="H57" s="183"/>
    </row>
    <row r="63" spans="1:8" ht="11.25" customHeight="1" thickBot="1"/>
    <row r="64" spans="1:8" ht="25.5" customHeight="1" thickBot="1">
      <c r="A64" s="509" t="s">
        <v>336</v>
      </c>
      <c r="B64" s="510"/>
      <c r="C64" s="510"/>
      <c r="D64" s="511"/>
      <c r="E64" s="281"/>
    </row>
    <row r="65" spans="1:5" ht="11.25" customHeight="1">
      <c r="A65" s="282" t="s">
        <v>242</v>
      </c>
      <c r="B65" s="283">
        <v>2010</v>
      </c>
      <c r="C65" s="283">
        <v>2011</v>
      </c>
      <c r="D65" s="284">
        <v>2012</v>
      </c>
      <c r="E65" s="281"/>
    </row>
    <row r="66" spans="1:5" ht="11.25" customHeight="1">
      <c r="A66" s="282"/>
      <c r="B66" s="283"/>
      <c r="C66" s="283"/>
      <c r="D66" s="284"/>
      <c r="E66" s="281"/>
    </row>
    <row r="67" spans="1:5" ht="11.25" customHeight="1">
      <c r="A67" s="282" t="s">
        <v>243</v>
      </c>
      <c r="B67" s="285">
        <v>4.4999999999999998E-2</v>
      </c>
      <c r="C67" s="285">
        <v>4.4999999999999998E-2</v>
      </c>
      <c r="D67" s="286">
        <v>4.4999999999999998E-2</v>
      </c>
      <c r="E67" s="281"/>
    </row>
    <row r="68" spans="1:5" ht="11.25" customHeight="1">
      <c r="A68" s="282" t="s">
        <v>337</v>
      </c>
      <c r="B68" s="287">
        <v>8600000</v>
      </c>
      <c r="C68" s="287">
        <v>8837000</v>
      </c>
      <c r="D68" s="288">
        <v>157830</v>
      </c>
      <c r="E68" s="281"/>
    </row>
    <row r="69" spans="1:5" ht="11.25" customHeight="1" thickBot="1">
      <c r="A69" s="289" t="s">
        <v>338</v>
      </c>
      <c r="B69" s="290">
        <f>(B68/(1+B67))</f>
        <v>8229665.0717703355</v>
      </c>
      <c r="C69" s="290">
        <f>(C68/((1+C67)*(1+B67)))</f>
        <v>8092305.5790847298</v>
      </c>
      <c r="D69" s="290">
        <f>(D68/((1+B67)*(1+C67)*(1+D67)))</f>
        <v>138305.89301798635</v>
      </c>
      <c r="E69" s="281"/>
    </row>
    <row r="70" spans="1:5" ht="11.25" customHeight="1">
      <c r="A70" s="291" t="s">
        <v>244</v>
      </c>
      <c r="B70" s="281"/>
      <c r="C70" s="281"/>
      <c r="D70" s="281"/>
      <c r="E70" s="281"/>
    </row>
    <row r="71" spans="1:5" ht="11.25" customHeight="1">
      <c r="A71" s="283" t="s">
        <v>245</v>
      </c>
      <c r="B71" s="292"/>
      <c r="C71" s="281"/>
      <c r="D71" s="281"/>
      <c r="E71" s="281"/>
    </row>
    <row r="72" spans="1:5" ht="11.25" customHeight="1">
      <c r="A72" s="283" t="s">
        <v>246</v>
      </c>
      <c r="B72" s="281"/>
      <c r="C72" s="281"/>
      <c r="D72" s="281"/>
      <c r="E72" s="281"/>
    </row>
    <row r="73" spans="1:5" ht="11.25" customHeight="1">
      <c r="A73" s="283" t="s">
        <v>247</v>
      </c>
      <c r="B73" s="281"/>
      <c r="C73" s="281"/>
      <c r="D73" s="281"/>
      <c r="E73" s="281"/>
    </row>
    <row r="74" spans="1:5" ht="11.25" customHeight="1">
      <c r="A74" s="283" t="s">
        <v>248</v>
      </c>
      <c r="B74" s="281"/>
      <c r="C74" s="281"/>
      <c r="D74" s="281"/>
      <c r="E74" s="281"/>
    </row>
  </sheetData>
  <mergeCells count="17">
    <mergeCell ref="A64:D64"/>
    <mergeCell ref="A21:J21"/>
    <mergeCell ref="B8:D8"/>
    <mergeCell ref="E8:G8"/>
    <mergeCell ref="H8:J8"/>
    <mergeCell ref="A9:A12"/>
    <mergeCell ref="B9:D9"/>
    <mergeCell ref="E9:G9"/>
    <mergeCell ref="H9:J9"/>
    <mergeCell ref="B25:C25"/>
    <mergeCell ref="D25:E25"/>
    <mergeCell ref="A5:J5"/>
    <mergeCell ref="A6:J6"/>
    <mergeCell ref="A7:J7"/>
    <mergeCell ref="A2:J2"/>
    <mergeCell ref="A3:J3"/>
    <mergeCell ref="A4:J4"/>
  </mergeCells>
  <phoneticPr fontId="6" type="noConversion"/>
  <pageMargins left="0.78740157480314965" right="0.78740157480314965" top="0.98425196850393704" bottom="0.98425196850393704" header="0.51181102362204722" footer="0.51181102362204722"/>
  <pageSetup paperSize="9" scale="7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sheetPr codeName="Plan9"/>
  <dimension ref="A1:K75"/>
  <sheetViews>
    <sheetView view="pageBreakPreview" topLeftCell="A16" zoomScale="60" zoomScaleNormal="100" workbookViewId="0">
      <selection activeCell="A2" sqref="A2:H2"/>
    </sheetView>
  </sheetViews>
  <sheetFormatPr defaultColWidth="7.85546875" defaultRowHeight="11.25" customHeight="1"/>
  <cols>
    <col min="1" max="1" width="53.5703125" style="12" customWidth="1"/>
    <col min="2" max="2" width="12.5703125" style="12" customWidth="1"/>
    <col min="3" max="4" width="10.42578125" style="12" hidden="1" customWidth="1"/>
    <col min="5" max="5" width="13.140625" style="12" customWidth="1"/>
    <col min="6" max="7" width="10.42578125" style="12" hidden="1" customWidth="1"/>
    <col min="8" max="8" width="14" style="12" customWidth="1"/>
    <col min="9" max="9" width="2.140625" style="12" hidden="1" customWidth="1"/>
    <col min="10" max="10" width="13.7109375" style="12" customWidth="1"/>
    <col min="11" max="16384" width="7.85546875" style="12"/>
  </cols>
  <sheetData>
    <row r="1" spans="1:11" ht="11.25" customHeight="1">
      <c r="A1" s="524" t="s">
        <v>31</v>
      </c>
      <c r="B1" s="524"/>
      <c r="C1" s="524"/>
      <c r="D1" s="524"/>
      <c r="E1" s="524"/>
      <c r="F1" s="524"/>
      <c r="G1" s="524"/>
      <c r="H1" s="524"/>
      <c r="I1" s="524"/>
      <c r="J1" s="524"/>
    </row>
    <row r="2" spans="1:11" ht="11.25" customHeight="1">
      <c r="A2" s="523" t="s">
        <v>136</v>
      </c>
      <c r="B2" s="523"/>
      <c r="C2" s="523"/>
      <c r="D2" s="523"/>
      <c r="E2" s="523"/>
      <c r="F2" s="523"/>
      <c r="G2" s="523"/>
      <c r="H2" s="523"/>
      <c r="I2" s="523"/>
      <c r="J2" s="523"/>
    </row>
    <row r="3" spans="1:11" ht="13.5" customHeight="1">
      <c r="A3" s="530" t="s">
        <v>252</v>
      </c>
      <c r="B3" s="531"/>
      <c r="C3" s="531"/>
      <c r="D3" s="531"/>
      <c r="E3" s="531"/>
      <c r="F3" s="531"/>
      <c r="G3" s="531"/>
      <c r="H3" s="531"/>
      <c r="I3" s="531"/>
      <c r="J3" s="531"/>
    </row>
    <row r="4" spans="1:11" ht="12">
      <c r="A4" s="527" t="s">
        <v>24</v>
      </c>
      <c r="B4" s="527"/>
      <c r="C4" s="527"/>
      <c r="D4" s="527"/>
      <c r="E4" s="527"/>
      <c r="F4" s="527"/>
      <c r="G4" s="527"/>
      <c r="H4" s="527"/>
      <c r="I4" s="527"/>
      <c r="J4" s="527"/>
    </row>
    <row r="5" spans="1:11" ht="12" customHeight="1">
      <c r="A5" s="525">
        <v>2010</v>
      </c>
      <c r="B5" s="526"/>
      <c r="C5" s="526"/>
      <c r="D5" s="526"/>
      <c r="E5" s="526"/>
      <c r="F5" s="526"/>
      <c r="G5" s="526"/>
      <c r="H5" s="526"/>
      <c r="I5" s="526"/>
      <c r="J5" s="526"/>
    </row>
    <row r="6" spans="1:11" ht="13.5" customHeight="1" thickBot="1">
      <c r="A6" s="123"/>
      <c r="B6" s="123"/>
      <c r="C6" s="123"/>
      <c r="D6" s="123"/>
      <c r="E6" s="123"/>
      <c r="F6" s="123"/>
      <c r="G6" s="123"/>
      <c r="H6" s="123"/>
      <c r="I6" s="123"/>
      <c r="J6" s="124">
        <v>1</v>
      </c>
    </row>
    <row r="7" spans="1:11" ht="11.25" customHeight="1" thickBot="1">
      <c r="A7" s="125" t="s">
        <v>425</v>
      </c>
      <c r="B7" s="126">
        <v>2010</v>
      </c>
      <c r="C7" s="127">
        <v>2010</v>
      </c>
      <c r="D7" s="128"/>
      <c r="E7" s="127">
        <v>2011</v>
      </c>
      <c r="F7" s="127">
        <v>2011</v>
      </c>
      <c r="G7" s="129"/>
      <c r="H7" s="127">
        <v>2012</v>
      </c>
      <c r="I7" s="127">
        <v>2012</v>
      </c>
      <c r="J7" s="122" t="s">
        <v>427</v>
      </c>
    </row>
    <row r="8" spans="1:11" ht="11.25" customHeight="1" thickBot="1">
      <c r="A8" s="130"/>
      <c r="B8" s="131" t="s">
        <v>155</v>
      </c>
      <c r="C8" s="132" t="s">
        <v>156</v>
      </c>
      <c r="D8" s="133" t="s">
        <v>20</v>
      </c>
      <c r="E8" s="131" t="s">
        <v>155</v>
      </c>
      <c r="F8" s="131" t="s">
        <v>156</v>
      </c>
      <c r="G8" s="131" t="s">
        <v>20</v>
      </c>
      <c r="H8" s="131" t="s">
        <v>155</v>
      </c>
      <c r="I8" s="134" t="s">
        <v>156</v>
      </c>
      <c r="J8" s="131" t="s">
        <v>20</v>
      </c>
    </row>
    <row r="9" spans="1:11" ht="13.5" customHeight="1" thickBot="1">
      <c r="A9" s="133" t="s">
        <v>61</v>
      </c>
      <c r="B9" s="118"/>
      <c r="C9" s="118"/>
      <c r="D9" s="118"/>
      <c r="E9" s="118"/>
      <c r="F9" s="118"/>
      <c r="G9" s="118"/>
      <c r="H9" s="118"/>
      <c r="I9" s="119"/>
      <c r="J9" s="118"/>
      <c r="K9" s="120"/>
    </row>
    <row r="10" spans="1:11" ht="12" customHeight="1" thickBot="1">
      <c r="A10" s="135" t="s">
        <v>74</v>
      </c>
      <c r="B10" s="136">
        <f>B11+B18+B21</f>
        <v>8539200</v>
      </c>
      <c r="C10" s="136"/>
      <c r="D10" s="136"/>
      <c r="E10" s="136">
        <f>E11+E18+E21</f>
        <v>8837000</v>
      </c>
      <c r="F10" s="136"/>
      <c r="G10" s="136"/>
      <c r="H10" s="136">
        <f>H11+H18+H21</f>
        <v>9134200</v>
      </c>
      <c r="I10" s="137"/>
      <c r="J10" s="136">
        <f>SUM(B10:H10)</f>
        <v>26510400</v>
      </c>
      <c r="K10" s="120"/>
    </row>
    <row r="11" spans="1:11" ht="11.25" customHeight="1">
      <c r="A11" s="138" t="s">
        <v>62</v>
      </c>
      <c r="B11" s="139">
        <v>268500</v>
      </c>
      <c r="C11" s="140"/>
      <c r="D11" s="141"/>
      <c r="E11" s="139">
        <v>280500</v>
      </c>
      <c r="F11" s="142"/>
      <c r="G11" s="143"/>
      <c r="H11" s="139">
        <v>293100</v>
      </c>
      <c r="I11" s="144"/>
      <c r="J11" s="145">
        <f>SUM(B11:H11)</f>
        <v>842100</v>
      </c>
      <c r="K11" s="120"/>
    </row>
    <row r="12" spans="1:11" ht="11.25" customHeight="1">
      <c r="A12" s="138" t="s">
        <v>55</v>
      </c>
      <c r="B12" s="146"/>
      <c r="C12" s="147"/>
      <c r="D12" s="148"/>
      <c r="E12" s="146"/>
      <c r="F12" s="149"/>
      <c r="G12" s="150"/>
      <c r="H12" s="151"/>
      <c r="I12" s="152"/>
      <c r="J12" s="153">
        <f>SUM(B12:H12)</f>
        <v>0</v>
      </c>
      <c r="K12" s="120"/>
    </row>
    <row r="13" spans="1:11" ht="11.25" customHeight="1">
      <c r="A13" s="138" t="s">
        <v>63</v>
      </c>
      <c r="B13" s="146"/>
      <c r="C13" s="147"/>
      <c r="D13" s="148"/>
      <c r="E13" s="146"/>
      <c r="F13" s="149"/>
      <c r="G13" s="150"/>
      <c r="H13" s="151"/>
      <c r="I13" s="152"/>
      <c r="J13" s="153">
        <f t="shared" ref="J13:J31" si="0">SUM(B13:H13)</f>
        <v>0</v>
      </c>
      <c r="K13" s="120"/>
    </row>
    <row r="14" spans="1:11" ht="11.25" customHeight="1">
      <c r="A14" s="138" t="s">
        <v>64</v>
      </c>
      <c r="B14" s="146"/>
      <c r="C14" s="147"/>
      <c r="D14" s="148"/>
      <c r="E14" s="146"/>
      <c r="F14" s="149"/>
      <c r="G14" s="150"/>
      <c r="H14" s="151"/>
      <c r="I14" s="152"/>
      <c r="J14" s="153">
        <f t="shared" si="0"/>
        <v>0</v>
      </c>
      <c r="K14" s="120"/>
    </row>
    <row r="15" spans="1:11" ht="11.25" customHeight="1">
      <c r="A15" s="138" t="s">
        <v>42</v>
      </c>
      <c r="B15" s="146">
        <f>B16</f>
        <v>60800</v>
      </c>
      <c r="C15" s="147"/>
      <c r="D15" s="148"/>
      <c r="E15" s="146">
        <f>E16</f>
        <v>63000</v>
      </c>
      <c r="F15" s="149"/>
      <c r="G15" s="150"/>
      <c r="H15" s="146">
        <f>H16</f>
        <v>65800</v>
      </c>
      <c r="I15" s="152"/>
      <c r="J15" s="153">
        <f t="shared" si="0"/>
        <v>189600</v>
      </c>
      <c r="K15" s="120"/>
    </row>
    <row r="16" spans="1:11" ht="11.25" customHeight="1">
      <c r="A16" s="138" t="s">
        <v>36</v>
      </c>
      <c r="B16" s="146">
        <f>B17</f>
        <v>60800</v>
      </c>
      <c r="C16" s="147"/>
      <c r="D16" s="148"/>
      <c r="E16" s="146">
        <f>E17</f>
        <v>63000</v>
      </c>
      <c r="F16" s="149"/>
      <c r="G16" s="150"/>
      <c r="H16" s="146">
        <f>H17</f>
        <v>65800</v>
      </c>
      <c r="I16" s="152"/>
      <c r="J16" s="153">
        <f t="shared" si="0"/>
        <v>189600</v>
      </c>
      <c r="K16" s="120"/>
    </row>
    <row r="17" spans="1:11" ht="11.25" customHeight="1">
      <c r="A17" s="138" t="s">
        <v>37</v>
      </c>
      <c r="B17" s="146">
        <v>60800</v>
      </c>
      <c r="C17" s="147"/>
      <c r="D17" s="148"/>
      <c r="E17" s="146">
        <v>63000</v>
      </c>
      <c r="F17" s="149"/>
      <c r="G17" s="150"/>
      <c r="H17" s="146">
        <v>65800</v>
      </c>
      <c r="I17" s="152"/>
      <c r="J17" s="153">
        <f t="shared" si="0"/>
        <v>189600</v>
      </c>
      <c r="K17" s="120"/>
    </row>
    <row r="18" spans="1:11" ht="11.25" customHeight="1">
      <c r="A18" s="138" t="s">
        <v>79</v>
      </c>
      <c r="B18" s="146">
        <f>B20+B19</f>
        <v>8218300</v>
      </c>
      <c r="C18" s="147"/>
      <c r="D18" s="148"/>
      <c r="E18" s="146">
        <f>E20+E19</f>
        <v>8502000</v>
      </c>
      <c r="F18" s="149"/>
      <c r="G18" s="150"/>
      <c r="H18" s="146">
        <f>H20+H19</f>
        <v>8784400</v>
      </c>
      <c r="I18" s="152"/>
      <c r="J18" s="153">
        <f t="shared" si="0"/>
        <v>25504700</v>
      </c>
      <c r="K18" s="120"/>
    </row>
    <row r="19" spans="1:11" ht="11.25" customHeight="1">
      <c r="A19" s="138" t="s">
        <v>40</v>
      </c>
      <c r="B19" s="146"/>
      <c r="C19" s="147"/>
      <c r="D19" s="148"/>
      <c r="E19" s="146"/>
      <c r="F19" s="149"/>
      <c r="G19" s="150"/>
      <c r="H19" s="151"/>
      <c r="I19" s="152"/>
      <c r="J19" s="153">
        <f t="shared" si="0"/>
        <v>0</v>
      </c>
      <c r="K19" s="120"/>
    </row>
    <row r="20" spans="1:11" ht="11.25" customHeight="1">
      <c r="A20" s="138" t="s">
        <v>80</v>
      </c>
      <c r="B20" s="146">
        <f>9491300-1273000</f>
        <v>8218300</v>
      </c>
      <c r="C20" s="147"/>
      <c r="D20" s="148"/>
      <c r="E20" s="146">
        <f>9917900-1415900</f>
        <v>8502000</v>
      </c>
      <c r="F20" s="149"/>
      <c r="G20" s="150"/>
      <c r="H20" s="151">
        <f>10363600-1579200</f>
        <v>8784400</v>
      </c>
      <c r="I20" s="152"/>
      <c r="J20" s="153">
        <f t="shared" si="0"/>
        <v>25504700</v>
      </c>
      <c r="K20" s="120"/>
    </row>
    <row r="21" spans="1:11" ht="11.25" customHeight="1">
      <c r="A21" s="138" t="s">
        <v>43</v>
      </c>
      <c r="B21" s="146">
        <f>+B22+B23</f>
        <v>52400</v>
      </c>
      <c r="C21" s="147"/>
      <c r="D21" s="148"/>
      <c r="E21" s="146">
        <f>+E22+E23</f>
        <v>54500</v>
      </c>
      <c r="F21" s="149"/>
      <c r="G21" s="150"/>
      <c r="H21" s="146">
        <f>+H22+H23</f>
        <v>56700</v>
      </c>
      <c r="I21" s="152"/>
      <c r="J21" s="153">
        <f t="shared" si="0"/>
        <v>163600</v>
      </c>
      <c r="K21" s="120"/>
    </row>
    <row r="22" spans="1:11" ht="11.25" customHeight="1">
      <c r="A22" s="138" t="s">
        <v>38</v>
      </c>
      <c r="B22" s="146">
        <v>11000</v>
      </c>
      <c r="C22" s="147"/>
      <c r="D22" s="148"/>
      <c r="E22" s="146">
        <v>12000</v>
      </c>
      <c r="F22" s="149"/>
      <c r="G22" s="150"/>
      <c r="H22" s="151">
        <v>13000</v>
      </c>
      <c r="I22" s="152"/>
      <c r="J22" s="153">
        <f t="shared" si="0"/>
        <v>36000</v>
      </c>
      <c r="K22" s="120"/>
    </row>
    <row r="23" spans="1:11" ht="11.25" customHeight="1">
      <c r="A23" s="138" t="s">
        <v>39</v>
      </c>
      <c r="B23" s="146">
        <f>3000+38400</f>
        <v>41400</v>
      </c>
      <c r="C23" s="147"/>
      <c r="D23" s="148"/>
      <c r="E23" s="146">
        <f>2600+39900</f>
        <v>42500</v>
      </c>
      <c r="F23" s="149"/>
      <c r="G23" s="150"/>
      <c r="H23" s="151">
        <f>2200+41500</f>
        <v>43700</v>
      </c>
      <c r="I23" s="152"/>
      <c r="J23" s="153">
        <f t="shared" si="0"/>
        <v>127600</v>
      </c>
      <c r="K23" s="120"/>
    </row>
    <row r="24" spans="1:11" ht="11.25" customHeight="1">
      <c r="A24" s="138" t="s">
        <v>130</v>
      </c>
      <c r="B24" s="146"/>
      <c r="C24" s="147"/>
      <c r="D24" s="148"/>
      <c r="E24" s="146"/>
      <c r="F24" s="149"/>
      <c r="G24" s="150"/>
      <c r="H24" s="151"/>
      <c r="I24" s="152"/>
      <c r="J24" s="153">
        <f t="shared" si="0"/>
        <v>0</v>
      </c>
      <c r="K24" s="120"/>
    </row>
    <row r="25" spans="1:11" ht="11.25" customHeight="1">
      <c r="A25" s="138" t="s">
        <v>44</v>
      </c>
      <c r="B25" s="146"/>
      <c r="C25" s="147"/>
      <c r="D25" s="148"/>
      <c r="E25" s="146"/>
      <c r="F25" s="149"/>
      <c r="G25" s="150"/>
      <c r="H25" s="151"/>
      <c r="I25" s="152"/>
      <c r="J25" s="153">
        <f t="shared" si="0"/>
        <v>0</v>
      </c>
      <c r="K25" s="120"/>
    </row>
    <row r="26" spans="1:11" ht="11.25" customHeight="1">
      <c r="A26" s="138" t="s">
        <v>45</v>
      </c>
      <c r="B26" s="146"/>
      <c r="C26" s="147"/>
      <c r="D26" s="148"/>
      <c r="E26" s="146"/>
      <c r="F26" s="149"/>
      <c r="G26" s="150"/>
      <c r="H26" s="151"/>
      <c r="I26" s="152"/>
      <c r="J26" s="153">
        <f t="shared" si="0"/>
        <v>0</v>
      </c>
      <c r="K26" s="120"/>
    </row>
    <row r="27" spans="1:11" s="13" customFormat="1" ht="11.25" customHeight="1">
      <c r="A27" s="138" t="s">
        <v>54</v>
      </c>
      <c r="B27" s="146"/>
      <c r="C27" s="147"/>
      <c r="D27" s="148"/>
      <c r="E27" s="146"/>
      <c r="F27" s="149"/>
      <c r="G27" s="150"/>
      <c r="H27" s="151"/>
      <c r="I27" s="152"/>
      <c r="J27" s="153">
        <f t="shared" si="0"/>
        <v>0</v>
      </c>
      <c r="K27" s="121"/>
    </row>
    <row r="28" spans="1:11" ht="11.25" customHeight="1">
      <c r="A28" s="138" t="s">
        <v>46</v>
      </c>
      <c r="B28" s="146"/>
      <c r="C28" s="147"/>
      <c r="D28" s="148"/>
      <c r="E28" s="146"/>
      <c r="F28" s="149"/>
      <c r="G28" s="150"/>
      <c r="H28" s="151"/>
      <c r="I28" s="152"/>
      <c r="J28" s="153">
        <f t="shared" si="0"/>
        <v>0</v>
      </c>
      <c r="K28" s="120"/>
    </row>
    <row r="29" spans="1:11" ht="11.25" customHeight="1">
      <c r="A29" s="138" t="s">
        <v>40</v>
      </c>
      <c r="B29" s="146"/>
      <c r="C29" s="147"/>
      <c r="D29" s="148"/>
      <c r="E29" s="146"/>
      <c r="F29" s="149"/>
      <c r="G29" s="150"/>
      <c r="H29" s="151"/>
      <c r="I29" s="152"/>
      <c r="J29" s="153">
        <f t="shared" si="0"/>
        <v>0</v>
      </c>
      <c r="K29" s="120"/>
    </row>
    <row r="30" spans="1:11" ht="11.25" customHeight="1">
      <c r="A30" s="138" t="s">
        <v>41</v>
      </c>
      <c r="B30" s="146"/>
      <c r="C30" s="147"/>
      <c r="D30" s="148"/>
      <c r="E30" s="146"/>
      <c r="F30" s="149"/>
      <c r="G30" s="150"/>
      <c r="H30" s="151"/>
      <c r="I30" s="152"/>
      <c r="J30" s="153">
        <f t="shared" si="0"/>
        <v>0</v>
      </c>
      <c r="K30" s="120"/>
    </row>
    <row r="31" spans="1:11" ht="11.25" customHeight="1">
      <c r="A31" s="138" t="s">
        <v>127</v>
      </c>
      <c r="B31" s="146"/>
      <c r="C31" s="147"/>
      <c r="D31" s="148"/>
      <c r="E31" s="146"/>
      <c r="F31" s="149"/>
      <c r="G31" s="150"/>
      <c r="H31" s="151"/>
      <c r="I31" s="152"/>
      <c r="J31" s="153">
        <f t="shared" si="0"/>
        <v>0</v>
      </c>
      <c r="K31" s="120"/>
    </row>
    <row r="32" spans="1:11" ht="12.75" customHeight="1" thickBot="1">
      <c r="A32" s="154" t="s">
        <v>75</v>
      </c>
      <c r="B32" s="155">
        <f>B24</f>
        <v>0</v>
      </c>
      <c r="C32" s="156"/>
      <c r="D32" s="157"/>
      <c r="E32" s="155">
        <f>E24</f>
        <v>0</v>
      </c>
      <c r="F32" s="158"/>
      <c r="G32" s="159"/>
      <c r="H32" s="155">
        <f>H24</f>
        <v>0</v>
      </c>
      <c r="I32" s="160"/>
      <c r="J32" s="155">
        <f>J24</f>
        <v>0</v>
      </c>
      <c r="K32" s="120"/>
    </row>
    <row r="33" spans="1:11" ht="14.25" customHeight="1" thickBot="1">
      <c r="A33" s="161" t="s">
        <v>65</v>
      </c>
      <c r="B33" s="162">
        <f>B24+B10</f>
        <v>8539200</v>
      </c>
      <c r="C33" s="162"/>
      <c r="D33" s="162"/>
      <c r="E33" s="162">
        <f>E24+E10</f>
        <v>8837000</v>
      </c>
      <c r="F33" s="162"/>
      <c r="G33" s="162"/>
      <c r="H33" s="162">
        <f>H24+H10</f>
        <v>9134200</v>
      </c>
      <c r="I33" s="163"/>
      <c r="J33" s="162">
        <f>J24+J10</f>
        <v>26510400</v>
      </c>
      <c r="K33" s="120"/>
    </row>
    <row r="34" spans="1:11" ht="13.5" customHeight="1" thickBot="1">
      <c r="A34" s="131" t="s">
        <v>66</v>
      </c>
      <c r="B34" s="164"/>
      <c r="C34" s="165"/>
      <c r="D34" s="166"/>
      <c r="E34" s="165"/>
      <c r="F34" s="166"/>
      <c r="G34" s="165"/>
      <c r="H34" s="165"/>
      <c r="I34" s="166"/>
      <c r="J34" s="167"/>
      <c r="K34" s="120"/>
    </row>
    <row r="35" spans="1:11" ht="14.25" customHeight="1">
      <c r="A35" s="168" t="s">
        <v>131</v>
      </c>
      <c r="B35" s="169">
        <f>B36+B38</f>
        <v>6814000</v>
      </c>
      <c r="C35" s="169">
        <f>C36+C38</f>
        <v>6037000</v>
      </c>
      <c r="D35" s="169">
        <f>D36+D38</f>
        <v>6339000</v>
      </c>
      <c r="E35" s="169">
        <f>E36+E38</f>
        <v>7119000</v>
      </c>
      <c r="F35" s="142"/>
      <c r="G35" s="143"/>
      <c r="H35" s="169">
        <f>H36+H38</f>
        <v>7437999.9999999991</v>
      </c>
      <c r="I35" s="144"/>
      <c r="J35" s="153">
        <f t="shared" ref="J35:J46" si="1">SUM(B35:H35)</f>
        <v>33747000</v>
      </c>
      <c r="K35" s="120"/>
    </row>
    <row r="36" spans="1:11" ht="11.25" customHeight="1">
      <c r="A36" s="138" t="s">
        <v>128</v>
      </c>
      <c r="B36" s="170">
        <v>3887000</v>
      </c>
      <c r="C36" s="170">
        <v>3097000</v>
      </c>
      <c r="D36" s="170">
        <v>3252000</v>
      </c>
      <c r="E36" s="146">
        <f>B36*1.045-915</f>
        <v>4060999.9999999995</v>
      </c>
      <c r="F36" s="146">
        <f t="shared" ref="F36:F50" si="2">C36*1.045</f>
        <v>3236365</v>
      </c>
      <c r="G36" s="146">
        <f t="shared" ref="G36:G50" si="3">D36*1.045</f>
        <v>3398340</v>
      </c>
      <c r="H36" s="146">
        <f>E36*1.045-745</f>
        <v>4242999.9999999991</v>
      </c>
      <c r="I36" s="152"/>
      <c r="J36" s="153">
        <f t="shared" si="1"/>
        <v>25174705</v>
      </c>
      <c r="K36" s="120"/>
    </row>
    <row r="37" spans="1:11" ht="11.25" customHeight="1">
      <c r="A37" s="138" t="s">
        <v>47</v>
      </c>
      <c r="B37" s="170">
        <v>0</v>
      </c>
      <c r="C37" s="170">
        <v>0</v>
      </c>
      <c r="D37" s="170">
        <v>0</v>
      </c>
      <c r="E37" s="146">
        <f t="shared" ref="E37:E49" si="4">B37*1.045</f>
        <v>0</v>
      </c>
      <c r="F37" s="146">
        <f t="shared" si="2"/>
        <v>0</v>
      </c>
      <c r="G37" s="146">
        <f t="shared" si="3"/>
        <v>0</v>
      </c>
      <c r="H37" s="146">
        <f t="shared" ref="H37:H50" si="5">E37*1.045</f>
        <v>0</v>
      </c>
      <c r="I37" s="152"/>
      <c r="J37" s="153">
        <f t="shared" si="1"/>
        <v>0</v>
      </c>
      <c r="K37" s="120"/>
    </row>
    <row r="38" spans="1:11" ht="11.25" customHeight="1">
      <c r="A38" s="138" t="s">
        <v>129</v>
      </c>
      <c r="B38" s="170">
        <v>2927000</v>
      </c>
      <c r="C38" s="170">
        <v>2940000</v>
      </c>
      <c r="D38" s="170">
        <v>3087000</v>
      </c>
      <c r="E38" s="146">
        <f>B38*1.045-715</f>
        <v>3058000</v>
      </c>
      <c r="F38" s="146">
        <f t="shared" si="2"/>
        <v>3072300</v>
      </c>
      <c r="G38" s="146">
        <f t="shared" si="3"/>
        <v>3225915</v>
      </c>
      <c r="H38" s="146">
        <f>E38*1.045-610</f>
        <v>3195000</v>
      </c>
      <c r="I38" s="152"/>
      <c r="J38" s="153">
        <f t="shared" si="1"/>
        <v>21505215</v>
      </c>
      <c r="K38" s="120"/>
    </row>
    <row r="39" spans="1:11" ht="11.25" customHeight="1">
      <c r="A39" s="138" t="s">
        <v>67</v>
      </c>
      <c r="B39" s="170">
        <f>B35</f>
        <v>6814000</v>
      </c>
      <c r="C39" s="170">
        <f>C35</f>
        <v>6037000</v>
      </c>
      <c r="D39" s="170">
        <f>D35</f>
        <v>6339000</v>
      </c>
      <c r="E39" s="170">
        <f>E35</f>
        <v>7119000</v>
      </c>
      <c r="F39" s="146">
        <f t="shared" si="2"/>
        <v>6308665</v>
      </c>
      <c r="G39" s="146">
        <f t="shared" si="3"/>
        <v>6624255</v>
      </c>
      <c r="H39" s="170">
        <f>H35</f>
        <v>7437999.9999999991</v>
      </c>
      <c r="I39" s="152"/>
      <c r="J39" s="153">
        <f t="shared" si="1"/>
        <v>46679920</v>
      </c>
      <c r="K39" s="120"/>
    </row>
    <row r="40" spans="1:11" ht="11.25" customHeight="1">
      <c r="A40" s="138" t="s">
        <v>132</v>
      </c>
      <c r="B40" s="171"/>
      <c r="C40" s="171"/>
      <c r="D40" s="171"/>
      <c r="E40" s="146">
        <f t="shared" si="4"/>
        <v>0</v>
      </c>
      <c r="F40" s="146">
        <f t="shared" si="2"/>
        <v>0</v>
      </c>
      <c r="G40" s="146">
        <f t="shared" si="3"/>
        <v>0</v>
      </c>
      <c r="H40" s="146">
        <f t="shared" si="5"/>
        <v>0</v>
      </c>
      <c r="I40" s="152"/>
      <c r="J40" s="153">
        <f t="shared" si="1"/>
        <v>0</v>
      </c>
      <c r="K40" s="120"/>
    </row>
    <row r="41" spans="1:11" ht="11.25" customHeight="1">
      <c r="A41" s="138" t="s">
        <v>51</v>
      </c>
      <c r="B41" s="171">
        <f>SUM(B42:B47)</f>
        <v>1700000</v>
      </c>
      <c r="C41" s="172">
        <f>SUM(C42:C47)</f>
        <v>1852000</v>
      </c>
      <c r="D41" s="172">
        <f>SUM(D42:D47)</f>
        <v>1946000</v>
      </c>
      <c r="E41" s="171">
        <f>SUM(E42:E47)</f>
        <v>1691199.9999999998</v>
      </c>
      <c r="F41" s="146">
        <f t="shared" si="2"/>
        <v>1935339.9999999998</v>
      </c>
      <c r="G41" s="146">
        <f t="shared" si="3"/>
        <v>2033569.9999999998</v>
      </c>
      <c r="H41" s="171">
        <f>SUM(H42:H47)</f>
        <v>1669999.9999999995</v>
      </c>
      <c r="I41" s="152"/>
      <c r="J41" s="153">
        <f t="shared" si="1"/>
        <v>12828110</v>
      </c>
      <c r="K41" s="120"/>
    </row>
    <row r="42" spans="1:11" ht="11.25" customHeight="1">
      <c r="A42" s="138" t="s">
        <v>11</v>
      </c>
      <c r="B42" s="171">
        <v>1700000</v>
      </c>
      <c r="C42" s="171">
        <v>1852000</v>
      </c>
      <c r="D42" s="171">
        <v>1946000</v>
      </c>
      <c r="E42" s="146">
        <f>B42*1.045-85300</f>
        <v>1691199.9999999998</v>
      </c>
      <c r="F42" s="146">
        <f t="shared" si="2"/>
        <v>1935339.9999999998</v>
      </c>
      <c r="G42" s="146">
        <f t="shared" si="3"/>
        <v>2033569.9999999998</v>
      </c>
      <c r="H42" s="146">
        <f>E42*1.045-97304</f>
        <v>1669999.9999999995</v>
      </c>
      <c r="I42" s="152"/>
      <c r="J42" s="153">
        <f t="shared" si="1"/>
        <v>12828110</v>
      </c>
      <c r="K42" s="120"/>
    </row>
    <row r="43" spans="1:11" ht="11.25" customHeight="1">
      <c r="A43" s="138" t="s">
        <v>48</v>
      </c>
      <c r="B43" s="171"/>
      <c r="C43" s="171"/>
      <c r="D43" s="171"/>
      <c r="E43" s="146">
        <f t="shared" si="4"/>
        <v>0</v>
      </c>
      <c r="F43" s="146">
        <f t="shared" si="2"/>
        <v>0</v>
      </c>
      <c r="G43" s="146">
        <f t="shared" si="3"/>
        <v>0</v>
      </c>
      <c r="H43" s="146">
        <f t="shared" si="5"/>
        <v>0</v>
      </c>
      <c r="I43" s="152"/>
      <c r="J43" s="153">
        <f t="shared" si="1"/>
        <v>0</v>
      </c>
      <c r="K43" s="120"/>
    </row>
    <row r="44" spans="1:11" ht="11.25" customHeight="1">
      <c r="A44" s="138" t="s">
        <v>49</v>
      </c>
      <c r="B44" s="171"/>
      <c r="C44" s="171"/>
      <c r="D44" s="171"/>
      <c r="E44" s="146">
        <f t="shared" si="4"/>
        <v>0</v>
      </c>
      <c r="F44" s="146">
        <f t="shared" si="2"/>
        <v>0</v>
      </c>
      <c r="G44" s="146">
        <f t="shared" si="3"/>
        <v>0</v>
      </c>
      <c r="H44" s="146">
        <f t="shared" si="5"/>
        <v>0</v>
      </c>
      <c r="I44" s="152"/>
      <c r="J44" s="153">
        <f t="shared" si="1"/>
        <v>0</v>
      </c>
      <c r="K44" s="120"/>
    </row>
    <row r="45" spans="1:11" ht="11.25" customHeight="1">
      <c r="A45" s="138" t="s">
        <v>50</v>
      </c>
      <c r="B45" s="171"/>
      <c r="C45" s="171"/>
      <c r="D45" s="171"/>
      <c r="E45" s="146">
        <f t="shared" si="4"/>
        <v>0</v>
      </c>
      <c r="F45" s="146">
        <f t="shared" si="2"/>
        <v>0</v>
      </c>
      <c r="G45" s="146">
        <f t="shared" si="3"/>
        <v>0</v>
      </c>
      <c r="H45" s="146">
        <f t="shared" si="5"/>
        <v>0</v>
      </c>
      <c r="I45" s="152"/>
      <c r="J45" s="153">
        <f t="shared" si="1"/>
        <v>0</v>
      </c>
      <c r="K45" s="120"/>
    </row>
    <row r="46" spans="1:11" ht="11.25" customHeight="1">
      <c r="A46" s="138" t="s">
        <v>52</v>
      </c>
      <c r="B46" s="171"/>
      <c r="C46" s="171"/>
      <c r="D46" s="171"/>
      <c r="E46" s="146">
        <f t="shared" si="4"/>
        <v>0</v>
      </c>
      <c r="F46" s="146">
        <f t="shared" si="2"/>
        <v>0</v>
      </c>
      <c r="G46" s="146">
        <f t="shared" si="3"/>
        <v>0</v>
      </c>
      <c r="H46" s="146">
        <f t="shared" si="5"/>
        <v>0</v>
      </c>
      <c r="I46" s="152"/>
      <c r="J46" s="153">
        <f t="shared" si="1"/>
        <v>0</v>
      </c>
      <c r="K46" s="120"/>
    </row>
    <row r="47" spans="1:11" ht="11.25" customHeight="1">
      <c r="A47" s="138" t="s">
        <v>68</v>
      </c>
      <c r="B47" s="171"/>
      <c r="C47" s="171"/>
      <c r="D47" s="171"/>
      <c r="E47" s="146">
        <f t="shared" si="4"/>
        <v>0</v>
      </c>
      <c r="F47" s="146">
        <f t="shared" si="2"/>
        <v>0</v>
      </c>
      <c r="G47" s="146">
        <f t="shared" si="3"/>
        <v>0</v>
      </c>
      <c r="H47" s="146">
        <f t="shared" si="5"/>
        <v>0</v>
      </c>
      <c r="I47" s="152"/>
      <c r="J47" s="153"/>
      <c r="K47" s="120"/>
    </row>
    <row r="48" spans="1:11" ht="11.25" customHeight="1">
      <c r="A48" s="138" t="s">
        <v>133</v>
      </c>
      <c r="B48" s="171">
        <v>86000</v>
      </c>
      <c r="C48" s="171"/>
      <c r="D48" s="171"/>
      <c r="E48" s="146">
        <f>B48*1.045-70</f>
        <v>89800</v>
      </c>
      <c r="F48" s="146">
        <f t="shared" si="2"/>
        <v>0</v>
      </c>
      <c r="G48" s="146">
        <f t="shared" si="3"/>
        <v>0</v>
      </c>
      <c r="H48" s="146">
        <f>E48*1.045-1841</f>
        <v>92000</v>
      </c>
      <c r="I48" s="152"/>
      <c r="J48" s="153">
        <f>SUM(B48:H48)</f>
        <v>267800</v>
      </c>
      <c r="K48" s="120"/>
    </row>
    <row r="49" spans="1:11" ht="12.75" customHeight="1">
      <c r="A49" s="138" t="s">
        <v>53</v>
      </c>
      <c r="B49" s="155"/>
      <c r="C49" s="156"/>
      <c r="D49" s="157"/>
      <c r="E49" s="146">
        <f t="shared" si="4"/>
        <v>0</v>
      </c>
      <c r="F49" s="146">
        <f t="shared" si="2"/>
        <v>0</v>
      </c>
      <c r="G49" s="146">
        <f t="shared" si="3"/>
        <v>0</v>
      </c>
      <c r="H49" s="146">
        <f t="shared" si="5"/>
        <v>0</v>
      </c>
      <c r="I49" s="160"/>
      <c r="J49" s="153">
        <f>SUM(B49:H49)</f>
        <v>0</v>
      </c>
      <c r="K49" s="120"/>
    </row>
    <row r="50" spans="1:11" ht="12.75" customHeight="1" thickBot="1">
      <c r="A50" s="138" t="s">
        <v>426</v>
      </c>
      <c r="B50" s="173">
        <v>550000</v>
      </c>
      <c r="C50" s="174"/>
      <c r="D50" s="174"/>
      <c r="E50" s="146"/>
      <c r="F50" s="146">
        <f t="shared" si="2"/>
        <v>0</v>
      </c>
      <c r="G50" s="146">
        <f t="shared" si="3"/>
        <v>0</v>
      </c>
      <c r="H50" s="146">
        <f t="shared" si="5"/>
        <v>0</v>
      </c>
      <c r="I50" s="174"/>
      <c r="J50" s="153"/>
      <c r="K50" s="120"/>
    </row>
    <row r="51" spans="1:11" ht="13.5" customHeight="1" thickBot="1">
      <c r="A51" s="175" t="s">
        <v>69</v>
      </c>
      <c r="B51" s="162">
        <f>B48+B41+B35</f>
        <v>8600000</v>
      </c>
      <c r="C51" s="162"/>
      <c r="D51" s="162"/>
      <c r="E51" s="162">
        <f>E48+E41+E35</f>
        <v>8900000</v>
      </c>
      <c r="F51" s="162"/>
      <c r="G51" s="162"/>
      <c r="H51" s="162">
        <f>H48+H41+H35</f>
        <v>9199999.9999999981</v>
      </c>
      <c r="I51" s="176"/>
      <c r="J51" s="162">
        <f>J48+J41+J35</f>
        <v>46842910</v>
      </c>
      <c r="K51" s="120"/>
    </row>
    <row r="52" spans="1:11" ht="13.5" customHeight="1" thickBot="1">
      <c r="A52" s="177" t="s">
        <v>8</v>
      </c>
      <c r="B52" s="178">
        <f>B51-B33</f>
        <v>60800</v>
      </c>
      <c r="C52" s="179"/>
      <c r="D52" s="180"/>
      <c r="E52" s="179">
        <f>E51-E33</f>
        <v>63000</v>
      </c>
      <c r="F52" s="179"/>
      <c r="G52" s="181"/>
      <c r="H52" s="179">
        <f>H51-H33</f>
        <v>65799.999999998137</v>
      </c>
      <c r="I52" s="179"/>
      <c r="J52" s="182"/>
      <c r="K52" s="120"/>
    </row>
    <row r="53" spans="1:11" ht="11.25" customHeight="1">
      <c r="J53" s="14"/>
    </row>
    <row r="54" spans="1:11" ht="11.25" customHeight="1">
      <c r="A54" s="54" t="s">
        <v>433</v>
      </c>
      <c r="J54" s="14"/>
    </row>
    <row r="55" spans="1:11" ht="63.75" customHeight="1">
      <c r="A55" s="528" t="s">
        <v>528</v>
      </c>
      <c r="B55" s="528"/>
      <c r="C55" s="528"/>
      <c r="D55" s="528"/>
      <c r="E55" s="528"/>
      <c r="F55" s="528"/>
      <c r="G55" s="528"/>
      <c r="H55" s="528"/>
      <c r="I55" s="528"/>
      <c r="J55" s="528"/>
    </row>
    <row r="56" spans="1:11" ht="60.75" customHeight="1">
      <c r="A56" s="529" t="s">
        <v>529</v>
      </c>
      <c r="B56" s="529"/>
      <c r="C56" s="529"/>
      <c r="D56" s="529"/>
      <c r="E56" s="529"/>
      <c r="F56" s="529"/>
      <c r="G56" s="529"/>
      <c r="H56" s="529"/>
      <c r="I56" s="529"/>
      <c r="J56" s="529"/>
    </row>
    <row r="57" spans="1:11" ht="36" customHeight="1">
      <c r="A57" s="529" t="s">
        <v>530</v>
      </c>
      <c r="B57" s="529"/>
      <c r="C57" s="529"/>
      <c r="D57" s="529"/>
      <c r="E57" s="529"/>
      <c r="F57" s="529"/>
      <c r="G57" s="529"/>
      <c r="H57" s="529"/>
      <c r="I57" s="529"/>
      <c r="J57" s="529"/>
    </row>
    <row r="58" spans="1:11" ht="78.75" customHeight="1">
      <c r="A58" s="528" t="s">
        <v>531</v>
      </c>
      <c r="B58" s="528"/>
      <c r="C58" s="528"/>
      <c r="D58" s="528"/>
      <c r="E58" s="528"/>
      <c r="F58" s="528"/>
      <c r="G58" s="528"/>
      <c r="H58" s="528"/>
      <c r="I58" s="528"/>
      <c r="J58" s="528"/>
    </row>
    <row r="59" spans="1:11" ht="11.25" customHeight="1">
      <c r="A59" s="528"/>
      <c r="B59" s="528"/>
      <c r="C59" s="528"/>
      <c r="D59" s="528"/>
      <c r="J59" s="14"/>
    </row>
    <row r="60" spans="1:11" ht="11.25" customHeight="1">
      <c r="A60" s="183"/>
      <c r="B60" s="184"/>
      <c r="C60" s="183"/>
      <c r="D60" s="183"/>
      <c r="J60" s="14"/>
    </row>
    <row r="61" spans="1:11" ht="11.25" customHeight="1">
      <c r="A61" s="185" t="s">
        <v>430</v>
      </c>
      <c r="B61" s="185"/>
      <c r="C61" s="186"/>
      <c r="D61" s="186"/>
      <c r="J61" s="14"/>
    </row>
    <row r="62" spans="1:11" ht="11.25" customHeight="1">
      <c r="A62" s="185"/>
      <c r="B62" s="185"/>
      <c r="C62" s="186"/>
      <c r="D62" s="187"/>
      <c r="J62" s="14"/>
    </row>
    <row r="63" spans="1:11" ht="11.25" customHeight="1">
      <c r="A63" s="185"/>
      <c r="B63" s="185"/>
      <c r="C63" s="186"/>
      <c r="D63" s="187"/>
      <c r="J63" s="14"/>
    </row>
    <row r="64" spans="1:11" ht="11.25" customHeight="1">
      <c r="A64" s="185"/>
      <c r="B64" s="185"/>
      <c r="C64" s="186"/>
      <c r="D64" s="187"/>
      <c r="J64" s="14"/>
    </row>
    <row r="65" spans="1:10" ht="11.25" customHeight="1">
      <c r="A65" s="187" t="s">
        <v>432</v>
      </c>
      <c r="B65" s="186" t="s">
        <v>431</v>
      </c>
      <c r="C65" s="186"/>
      <c r="D65" s="187"/>
      <c r="J65" s="14"/>
    </row>
    <row r="66" spans="1:10" ht="11.25" customHeight="1">
      <c r="A66" s="185" t="s">
        <v>428</v>
      </c>
      <c r="B66" s="188" t="s">
        <v>429</v>
      </c>
      <c r="C66" s="188"/>
      <c r="D66" s="185"/>
      <c r="J66" s="14"/>
    </row>
    <row r="67" spans="1:10" ht="11.25" customHeight="1">
      <c r="J67" s="14"/>
    </row>
    <row r="68" spans="1:10" ht="11.25" customHeight="1">
      <c r="J68" s="14"/>
    </row>
    <row r="69" spans="1:10" ht="11.25" customHeight="1">
      <c r="J69" s="14"/>
    </row>
    <row r="70" spans="1:10" ht="11.25" customHeight="1">
      <c r="J70" s="14"/>
    </row>
    <row r="71" spans="1:10" ht="11.25" customHeight="1">
      <c r="J71" s="14"/>
    </row>
    <row r="72" spans="1:10" ht="11.25" customHeight="1">
      <c r="J72" s="14"/>
    </row>
    <row r="73" spans="1:10" ht="11.25" customHeight="1">
      <c r="J73" s="14"/>
    </row>
    <row r="74" spans="1:10" ht="11.25" customHeight="1">
      <c r="J74" s="14"/>
    </row>
    <row r="75" spans="1:10" ht="11.25" customHeight="1">
      <c r="J75" s="14"/>
    </row>
  </sheetData>
  <mergeCells count="10">
    <mergeCell ref="A2:J2"/>
    <mergeCell ref="A1:J1"/>
    <mergeCell ref="A5:J5"/>
    <mergeCell ref="A4:J4"/>
    <mergeCell ref="A59:D59"/>
    <mergeCell ref="A55:J55"/>
    <mergeCell ref="A56:J56"/>
    <mergeCell ref="A58:J58"/>
    <mergeCell ref="A57:J57"/>
    <mergeCell ref="A3:J3"/>
  </mergeCells>
  <phoneticPr fontId="4" type="noConversion"/>
  <printOptions horizontalCentered="1"/>
  <pageMargins left="0.78740157480314965" right="0.78740157480314965" top="0.59055118110236227" bottom="0.39370078740157483" header="0" footer="0.19685039370078741"/>
  <pageSetup paperSize="9" scale="77" orientation="portrait" r:id="rId1"/>
  <headerFooter alignWithMargins="0">
    <oddHeader xml:space="preserve">&amp;L&amp;"Times New Roman,Normal"&amp;12ESTADO DO RIO GRANDE DO SUL
PREFEITURA MUNICIPAL DE BOA VISTA DO CADEADO
</oddHeader>
  </headerFooter>
</worksheet>
</file>

<file path=xl/worksheets/sheet6.xml><?xml version="1.0" encoding="utf-8"?>
<worksheet xmlns="http://schemas.openxmlformats.org/spreadsheetml/2006/main" xmlns:r="http://schemas.openxmlformats.org/officeDocument/2006/relationships">
  <dimension ref="A1:J67"/>
  <sheetViews>
    <sheetView view="pageBreakPreview" zoomScale="60" zoomScaleNormal="100" workbookViewId="0">
      <selection activeCell="A2" sqref="A2:H2"/>
    </sheetView>
  </sheetViews>
  <sheetFormatPr defaultRowHeight="12.75"/>
  <cols>
    <col min="1" max="1" width="41.28515625" customWidth="1"/>
    <col min="2" max="4" width="13.7109375" customWidth="1"/>
    <col min="5" max="5" width="15.5703125" customWidth="1"/>
    <col min="6" max="6" width="14.7109375" customWidth="1"/>
  </cols>
  <sheetData>
    <row r="1" spans="1:6">
      <c r="A1" s="487" t="s">
        <v>250</v>
      </c>
      <c r="B1" s="487"/>
      <c r="C1" s="487"/>
      <c r="D1" s="487"/>
      <c r="E1" s="487"/>
      <c r="F1" s="487"/>
    </row>
    <row r="2" spans="1:6" s="55" customFormat="1">
      <c r="A2" s="532" t="s">
        <v>253</v>
      </c>
      <c r="B2" s="532"/>
      <c r="C2" s="532"/>
      <c r="D2" s="532"/>
      <c r="E2" s="532"/>
      <c r="F2" s="532"/>
    </row>
    <row r="3" spans="1:6">
      <c r="A3" s="183"/>
      <c r="B3" s="183"/>
      <c r="C3" s="183"/>
      <c r="D3" s="183"/>
      <c r="E3" s="183"/>
      <c r="F3" s="183"/>
    </row>
    <row r="4" spans="1:6">
      <c r="A4" s="183"/>
      <c r="B4" s="251">
        <v>2008</v>
      </c>
      <c r="C4" s="251">
        <v>2009</v>
      </c>
      <c r="D4" s="251">
        <v>2010</v>
      </c>
      <c r="E4" s="251">
        <v>2011</v>
      </c>
      <c r="F4" s="251">
        <v>2012</v>
      </c>
    </row>
    <row r="5" spans="1:6">
      <c r="A5" s="252" t="s">
        <v>254</v>
      </c>
      <c r="B5" s="253"/>
      <c r="C5" s="254">
        <f>B8</f>
        <v>0</v>
      </c>
      <c r="D5" s="254">
        <f>C8</f>
        <v>0</v>
      </c>
      <c r="E5" s="254">
        <f>D8</f>
        <v>0</v>
      </c>
      <c r="F5" s="254">
        <f>E8</f>
        <v>0</v>
      </c>
    </row>
    <row r="6" spans="1:6">
      <c r="A6" s="252" t="s">
        <v>249</v>
      </c>
      <c r="B6" s="253"/>
      <c r="C6" s="255">
        <v>0</v>
      </c>
      <c r="D6" s="255"/>
      <c r="E6" s="255"/>
      <c r="F6" s="255"/>
    </row>
    <row r="7" spans="1:6">
      <c r="A7" s="252" t="s">
        <v>158</v>
      </c>
      <c r="B7" s="253"/>
      <c r="C7" s="256">
        <v>0</v>
      </c>
      <c r="D7" s="256"/>
      <c r="E7" s="256"/>
      <c r="F7" s="256"/>
    </row>
    <row r="8" spans="1:6">
      <c r="A8" s="252" t="s">
        <v>217</v>
      </c>
      <c r="B8" s="257">
        <v>0</v>
      </c>
      <c r="C8" s="254">
        <f>C5+C6-C7</f>
        <v>0</v>
      </c>
      <c r="D8" s="254">
        <f>D5+D6-D7</f>
        <v>0</v>
      </c>
      <c r="E8" s="254">
        <f>E5+E6-E7</f>
        <v>0</v>
      </c>
      <c r="F8" s="254">
        <f>F5+F6-F7</f>
        <v>0</v>
      </c>
    </row>
    <row r="9" spans="1:6">
      <c r="A9" s="252" t="s">
        <v>222</v>
      </c>
      <c r="B9" s="258"/>
      <c r="C9" s="257">
        <v>8500000</v>
      </c>
      <c r="D9" s="257">
        <f>8600000-60800</f>
        <v>8539200</v>
      </c>
      <c r="E9" s="257">
        <v>8837000</v>
      </c>
      <c r="F9" s="257">
        <v>9134200</v>
      </c>
    </row>
    <row r="10" spans="1:6">
      <c r="A10" s="252" t="s">
        <v>230</v>
      </c>
      <c r="B10" s="258"/>
      <c r="C10" s="257">
        <f>C11+C12+C13</f>
        <v>8926308</v>
      </c>
      <c r="D10" s="257">
        <f>D11+D12+D13</f>
        <v>8838072</v>
      </c>
      <c r="E10" s="257">
        <f>E11+E12+E13</f>
        <v>8900000</v>
      </c>
      <c r="F10" s="257">
        <f>F11+F12+F13</f>
        <v>9200000</v>
      </c>
    </row>
    <row r="11" spans="1:6">
      <c r="A11" s="259" t="s">
        <v>225</v>
      </c>
      <c r="B11" s="258"/>
      <c r="C11" s="257">
        <v>8362566</v>
      </c>
      <c r="D11" s="257">
        <v>8600000</v>
      </c>
      <c r="E11" s="257">
        <v>8900000</v>
      </c>
      <c r="F11" s="257">
        <v>9200000</v>
      </c>
    </row>
    <row r="12" spans="1:6">
      <c r="A12" s="260" t="s">
        <v>226</v>
      </c>
      <c r="B12" s="258"/>
      <c r="C12" s="257">
        <v>563742</v>
      </c>
      <c r="D12" s="257">
        <v>238072</v>
      </c>
      <c r="E12" s="257"/>
      <c r="F12" s="257"/>
    </row>
    <row r="13" spans="1:6">
      <c r="A13" s="260" t="s">
        <v>227</v>
      </c>
      <c r="B13" s="258"/>
      <c r="C13" s="257">
        <v>0</v>
      </c>
      <c r="D13" s="257"/>
      <c r="E13" s="257"/>
      <c r="F13" s="257"/>
    </row>
    <row r="14" spans="1:6">
      <c r="A14" s="252" t="s">
        <v>229</v>
      </c>
      <c r="B14" s="257">
        <v>865195</v>
      </c>
      <c r="C14" s="258"/>
      <c r="D14" s="258"/>
      <c r="E14" s="258"/>
      <c r="F14" s="258"/>
    </row>
    <row r="15" spans="1:6">
      <c r="A15" s="252" t="s">
        <v>228</v>
      </c>
      <c r="B15" s="257">
        <v>200815</v>
      </c>
      <c r="C15" s="258"/>
      <c r="D15" s="258"/>
      <c r="E15" s="258"/>
      <c r="F15" s="258"/>
    </row>
    <row r="16" spans="1:6">
      <c r="A16" s="252" t="s">
        <v>220</v>
      </c>
      <c r="B16" s="254">
        <f>B14-B15</f>
        <v>664380</v>
      </c>
      <c r="C16" s="254">
        <f>B16+C9-C10</f>
        <v>238072</v>
      </c>
      <c r="D16" s="254">
        <f>C16+D9-D10</f>
        <v>-60800</v>
      </c>
      <c r="E16" s="254">
        <f>D16+E9-E10</f>
        <v>-123800</v>
      </c>
      <c r="F16" s="254">
        <f>E16+F9-F10</f>
        <v>-189600</v>
      </c>
    </row>
    <row r="17" spans="1:6">
      <c r="A17" s="252" t="s">
        <v>221</v>
      </c>
      <c r="B17" s="254">
        <f>B8-(B16)</f>
        <v>-664380</v>
      </c>
      <c r="C17" s="254">
        <f>C8-C16</f>
        <v>-238072</v>
      </c>
      <c r="D17" s="254">
        <f>D8-D16</f>
        <v>60800</v>
      </c>
      <c r="E17" s="254">
        <f>E8-E16</f>
        <v>123800</v>
      </c>
      <c r="F17" s="254">
        <f>F8-F16</f>
        <v>189600</v>
      </c>
    </row>
    <row r="18" spans="1:6">
      <c r="A18" s="261" t="s">
        <v>12</v>
      </c>
      <c r="B18" s="254"/>
      <c r="C18" s="254">
        <f>C17-B17</f>
        <v>426308</v>
      </c>
      <c r="D18" s="254">
        <f>D17-C17</f>
        <v>298872</v>
      </c>
      <c r="E18" s="254">
        <f>E17-D17</f>
        <v>63000</v>
      </c>
      <c r="F18" s="254">
        <f>F17-E17</f>
        <v>65800</v>
      </c>
    </row>
    <row r="19" spans="1:6">
      <c r="A19" s="183"/>
      <c r="B19" s="183"/>
      <c r="C19" s="183"/>
      <c r="D19" s="183"/>
      <c r="E19" s="183"/>
      <c r="F19" s="183"/>
    </row>
    <row r="20" spans="1:6" s="56" customFormat="1" hidden="1">
      <c r="A20" s="262" t="s">
        <v>159</v>
      </c>
      <c r="B20" s="262"/>
      <c r="C20" s="262"/>
      <c r="D20" s="262"/>
      <c r="E20" s="262"/>
      <c r="F20" s="262"/>
    </row>
    <row r="21" spans="1:6" hidden="1">
      <c r="A21" s="183"/>
      <c r="B21" s="183"/>
      <c r="C21" s="183"/>
      <c r="D21" s="183"/>
      <c r="E21" s="183"/>
      <c r="F21" s="183"/>
    </row>
    <row r="22" spans="1:6" hidden="1">
      <c r="A22" s="183"/>
      <c r="B22" s="251">
        <v>2008</v>
      </c>
      <c r="C22" s="251">
        <v>2009</v>
      </c>
      <c r="D22" s="251">
        <v>2010</v>
      </c>
      <c r="E22" s="251">
        <v>2011</v>
      </c>
      <c r="F22" s="251">
        <v>2012</v>
      </c>
    </row>
    <row r="23" spans="1:6" hidden="1">
      <c r="A23" s="252" t="s">
        <v>216</v>
      </c>
      <c r="B23" s="253"/>
      <c r="C23" s="254">
        <f>B26</f>
        <v>0</v>
      </c>
      <c r="D23" s="254">
        <f>C26</f>
        <v>0</v>
      </c>
      <c r="E23" s="254">
        <f>D26</f>
        <v>0</v>
      </c>
      <c r="F23" s="254">
        <f>E26</f>
        <v>0</v>
      </c>
    </row>
    <row r="24" spans="1:6" hidden="1">
      <c r="A24" s="252" t="s">
        <v>157</v>
      </c>
      <c r="B24" s="253"/>
      <c r="C24" s="255">
        <v>0</v>
      </c>
      <c r="D24" s="255">
        <v>0</v>
      </c>
      <c r="E24" s="255">
        <v>0</v>
      </c>
      <c r="F24" s="255">
        <v>0</v>
      </c>
    </row>
    <row r="25" spans="1:6" hidden="1">
      <c r="A25" s="252" t="s">
        <v>158</v>
      </c>
      <c r="B25" s="253"/>
      <c r="C25" s="256"/>
      <c r="D25" s="256"/>
      <c r="E25" s="256"/>
      <c r="F25" s="256"/>
    </row>
    <row r="26" spans="1:6" hidden="1">
      <c r="A26" s="252" t="s">
        <v>217</v>
      </c>
      <c r="B26" s="257"/>
      <c r="C26" s="254">
        <f>C23+C24-C25</f>
        <v>0</v>
      </c>
      <c r="D26" s="254">
        <f>D23+D24-D25</f>
        <v>0</v>
      </c>
      <c r="E26" s="254">
        <f>E23+E24-E25</f>
        <v>0</v>
      </c>
      <c r="F26" s="254">
        <f>F23+F24-F25</f>
        <v>0</v>
      </c>
    </row>
    <row r="27" spans="1:6" hidden="1">
      <c r="A27" s="252" t="s">
        <v>222</v>
      </c>
      <c r="B27" s="258"/>
      <c r="C27" s="257"/>
      <c r="D27" s="257"/>
      <c r="E27" s="257"/>
      <c r="F27" s="257"/>
    </row>
    <row r="28" spans="1:6" hidden="1">
      <c r="A28" s="252" t="s">
        <v>223</v>
      </c>
      <c r="B28" s="258"/>
      <c r="C28" s="257"/>
      <c r="D28" s="257"/>
      <c r="E28" s="257"/>
      <c r="F28" s="257"/>
    </row>
    <row r="29" spans="1:6" hidden="1">
      <c r="A29" s="252" t="s">
        <v>224</v>
      </c>
      <c r="B29" s="258"/>
      <c r="C29" s="257"/>
      <c r="D29" s="257"/>
      <c r="E29" s="257"/>
      <c r="F29" s="257"/>
    </row>
    <row r="30" spans="1:6" hidden="1">
      <c r="A30" s="252" t="s">
        <v>219</v>
      </c>
      <c r="B30" s="257"/>
      <c r="C30" s="258"/>
      <c r="D30" s="258"/>
      <c r="E30" s="258"/>
      <c r="F30" s="258"/>
    </row>
    <row r="31" spans="1:6" hidden="1">
      <c r="A31" s="252" t="s">
        <v>218</v>
      </c>
      <c r="B31" s="257"/>
      <c r="C31" s="258"/>
      <c r="D31" s="258"/>
      <c r="E31" s="258"/>
      <c r="F31" s="258"/>
    </row>
    <row r="32" spans="1:6" hidden="1">
      <c r="A32" s="252" t="s">
        <v>220</v>
      </c>
      <c r="B32" s="254">
        <f>B30-B31</f>
        <v>0</v>
      </c>
      <c r="C32" s="254">
        <f>B32+C27-C28-C29</f>
        <v>0</v>
      </c>
      <c r="D32" s="254">
        <f>C32+D27-D28-D29</f>
        <v>0</v>
      </c>
      <c r="E32" s="254">
        <f>D32+E27-E28-E29</f>
        <v>0</v>
      </c>
      <c r="F32" s="254">
        <f>E32+F27-F28-F29</f>
        <v>0</v>
      </c>
    </row>
    <row r="33" spans="1:6" hidden="1">
      <c r="A33" s="252" t="s">
        <v>221</v>
      </c>
      <c r="B33" s="254">
        <f>B26-(B32)</f>
        <v>0</v>
      </c>
      <c r="C33" s="254">
        <f>C26-C32</f>
        <v>0</v>
      </c>
      <c r="D33" s="254">
        <f>D26-D32</f>
        <v>0</v>
      </c>
      <c r="E33" s="254">
        <f>E26-E32</f>
        <v>0</v>
      </c>
      <c r="F33" s="254">
        <f>F26-F32</f>
        <v>0</v>
      </c>
    </row>
    <row r="34" spans="1:6" hidden="1">
      <c r="A34" s="261" t="s">
        <v>12</v>
      </c>
      <c r="B34" s="254"/>
      <c r="C34" s="254">
        <f>C33-B33</f>
        <v>0</v>
      </c>
      <c r="D34" s="254">
        <f>D33-C33</f>
        <v>0</v>
      </c>
      <c r="E34" s="254">
        <f>E33-D33</f>
        <v>0</v>
      </c>
      <c r="F34" s="254">
        <f>F33-E33</f>
        <v>0</v>
      </c>
    </row>
    <row r="35" spans="1:6" hidden="1">
      <c r="A35" s="183"/>
      <c r="B35" s="183"/>
      <c r="C35" s="183"/>
      <c r="D35" s="183"/>
      <c r="E35" s="183"/>
      <c r="F35" s="183"/>
    </row>
    <row r="36" spans="1:6" hidden="1">
      <c r="A36" s="183"/>
      <c r="B36" s="183"/>
      <c r="C36" s="183"/>
      <c r="D36" s="183"/>
      <c r="E36" s="183"/>
      <c r="F36" s="183"/>
    </row>
    <row r="37" spans="1:6" hidden="1">
      <c r="A37" s="183"/>
      <c r="B37" s="183"/>
      <c r="C37" s="183"/>
      <c r="D37" s="183"/>
      <c r="E37" s="183"/>
      <c r="F37" s="183"/>
    </row>
    <row r="38" spans="1:6" hidden="1">
      <c r="A38" s="183"/>
      <c r="B38" s="183"/>
      <c r="C38" s="183"/>
      <c r="D38" s="183"/>
      <c r="E38" s="183"/>
      <c r="F38" s="183"/>
    </row>
    <row r="39" spans="1:6" hidden="1">
      <c r="A39" s="183"/>
      <c r="B39" s="183"/>
      <c r="C39" s="183"/>
      <c r="D39" s="183"/>
      <c r="E39" s="183"/>
      <c r="F39" s="183"/>
    </row>
    <row r="40" spans="1:6" hidden="1">
      <c r="A40" s="183"/>
      <c r="B40" s="183"/>
      <c r="C40" s="183"/>
      <c r="D40" s="183"/>
      <c r="E40" s="183"/>
      <c r="F40" s="183"/>
    </row>
    <row r="41" spans="1:6" hidden="1">
      <c r="A41" s="183"/>
      <c r="B41" s="183"/>
      <c r="C41" s="183"/>
      <c r="D41" s="183"/>
      <c r="E41" s="183"/>
      <c r="F41" s="183"/>
    </row>
    <row r="42" spans="1:6" hidden="1">
      <c r="A42" s="183"/>
      <c r="B42" s="183"/>
      <c r="C42" s="183"/>
      <c r="D42" s="183"/>
      <c r="E42" s="183"/>
      <c r="F42" s="183"/>
    </row>
    <row r="43" spans="1:6" hidden="1">
      <c r="A43" s="183"/>
      <c r="B43" s="183"/>
      <c r="C43" s="183"/>
      <c r="D43" s="183"/>
      <c r="E43" s="183"/>
      <c r="F43" s="183"/>
    </row>
    <row r="44" spans="1:6" hidden="1">
      <c r="A44" s="183" t="s">
        <v>259</v>
      </c>
      <c r="B44" s="183"/>
      <c r="C44" s="183"/>
      <c r="D44" s="183"/>
      <c r="E44" s="183"/>
      <c r="F44" s="183"/>
    </row>
    <row r="45" spans="1:6" hidden="1">
      <c r="A45" s="183"/>
      <c r="B45" s="183"/>
      <c r="C45" s="183"/>
      <c r="D45" s="183"/>
      <c r="E45" s="183"/>
      <c r="F45" s="183"/>
    </row>
    <row r="46" spans="1:6" hidden="1">
      <c r="A46" s="183"/>
      <c r="B46" s="183"/>
      <c r="C46" s="183"/>
      <c r="D46" s="183"/>
      <c r="E46" s="183"/>
      <c r="F46" s="183"/>
    </row>
    <row r="47" spans="1:6" hidden="1">
      <c r="A47" s="183"/>
      <c r="B47" s="183"/>
      <c r="C47" s="183"/>
      <c r="D47" s="183"/>
      <c r="E47" s="183"/>
      <c r="F47" s="183"/>
    </row>
    <row r="48" spans="1:6" hidden="1">
      <c r="A48" s="183"/>
      <c r="B48" s="183"/>
      <c r="C48" s="183"/>
      <c r="D48" s="183"/>
      <c r="E48" s="183"/>
      <c r="F48" s="183"/>
    </row>
    <row r="49" spans="1:10" hidden="1">
      <c r="A49" s="183"/>
      <c r="B49" s="183"/>
      <c r="C49" s="183"/>
      <c r="D49" s="183"/>
      <c r="E49" s="183"/>
      <c r="F49" s="183"/>
    </row>
    <row r="50" spans="1:10" hidden="1">
      <c r="A50" s="183"/>
      <c r="B50" s="183"/>
      <c r="C50" s="183"/>
      <c r="D50" s="183"/>
      <c r="E50" s="183"/>
      <c r="F50" s="183"/>
    </row>
    <row r="51" spans="1:10" hidden="1">
      <c r="A51" s="183"/>
      <c r="B51" s="183"/>
      <c r="C51" s="183"/>
      <c r="D51" s="183"/>
      <c r="E51" s="183"/>
      <c r="F51" s="183"/>
    </row>
    <row r="52" spans="1:10">
      <c r="A52" s="183"/>
      <c r="B52" s="183"/>
      <c r="C52" s="183"/>
      <c r="D52" s="183"/>
      <c r="E52" s="183"/>
      <c r="F52" s="183"/>
    </row>
    <row r="53" spans="1:10">
      <c r="A53" s="183" t="s">
        <v>438</v>
      </c>
      <c r="B53" s="183"/>
      <c r="C53" s="183"/>
      <c r="D53" s="183"/>
      <c r="E53" s="183"/>
      <c r="F53" s="183"/>
    </row>
    <row r="54" spans="1:10" ht="112.5" customHeight="1">
      <c r="A54" s="533" t="s">
        <v>441</v>
      </c>
      <c r="B54" s="533"/>
      <c r="C54" s="533"/>
      <c r="D54" s="533"/>
      <c r="E54" s="533"/>
      <c r="F54" s="533"/>
    </row>
    <row r="55" spans="1:10">
      <c r="A55" s="183"/>
      <c r="B55" s="183"/>
      <c r="C55" s="183"/>
      <c r="D55" s="183"/>
      <c r="E55" s="183"/>
      <c r="F55" s="183"/>
    </row>
    <row r="56" spans="1:10">
      <c r="A56" s="185" t="s">
        <v>430</v>
      </c>
      <c r="B56" s="185"/>
      <c r="C56" s="186"/>
      <c r="D56" s="186"/>
      <c r="E56" s="12"/>
      <c r="F56" s="12"/>
      <c r="G56" s="12"/>
      <c r="H56" s="12"/>
      <c r="I56" s="12"/>
      <c r="J56" s="14"/>
    </row>
    <row r="57" spans="1:10">
      <c r="A57" s="185"/>
      <c r="B57" s="185"/>
      <c r="C57" s="186"/>
      <c r="D57" s="186"/>
      <c r="E57" s="12"/>
      <c r="F57" s="12"/>
      <c r="G57" s="12"/>
      <c r="H57" s="12"/>
      <c r="I57" s="12"/>
      <c r="J57" s="14"/>
    </row>
    <row r="58" spans="1:10">
      <c r="A58" s="185"/>
      <c r="B58" s="185"/>
      <c r="C58" s="186"/>
      <c r="D58" s="186"/>
      <c r="E58" s="12"/>
      <c r="F58" s="12"/>
      <c r="G58" s="12"/>
      <c r="H58" s="12"/>
      <c r="I58" s="12"/>
      <c r="J58" s="14"/>
    </row>
    <row r="59" spans="1:10">
      <c r="A59" s="185"/>
      <c r="B59" s="185"/>
      <c r="C59" s="186"/>
      <c r="D59" s="187"/>
      <c r="E59" s="12"/>
      <c r="F59" s="12"/>
      <c r="G59" s="12"/>
      <c r="H59" s="12"/>
      <c r="I59" s="12"/>
      <c r="J59" s="14"/>
    </row>
    <row r="60" spans="1:10">
      <c r="A60" s="187" t="s">
        <v>434</v>
      </c>
      <c r="B60" s="183" t="s">
        <v>436</v>
      </c>
      <c r="C60" s="186"/>
      <c r="D60" s="187"/>
      <c r="E60" s="186" t="s">
        <v>431</v>
      </c>
      <c r="F60" s="12"/>
      <c r="G60" s="12"/>
      <c r="H60" s="12"/>
      <c r="I60" s="12"/>
      <c r="J60" s="14"/>
    </row>
    <row r="61" spans="1:10">
      <c r="A61" s="185" t="s">
        <v>435</v>
      </c>
      <c r="B61" s="183" t="s">
        <v>437</v>
      </c>
      <c r="C61" s="188"/>
      <c r="D61" s="185"/>
      <c r="E61" s="188" t="s">
        <v>429</v>
      </c>
      <c r="F61" s="12"/>
      <c r="G61" s="12"/>
      <c r="H61" s="12"/>
      <c r="I61" s="12"/>
      <c r="J61" s="14"/>
    </row>
    <row r="62" spans="1:10">
      <c r="A62" s="12"/>
      <c r="B62" s="12"/>
      <c r="C62" s="12"/>
      <c r="D62" s="12"/>
      <c r="E62" s="12"/>
      <c r="F62" s="12"/>
      <c r="G62" s="12"/>
      <c r="H62" s="12"/>
      <c r="I62" s="12"/>
      <c r="J62" s="14"/>
    </row>
    <row r="63" spans="1:10">
      <c r="A63" s="12"/>
      <c r="B63" s="12"/>
      <c r="C63" s="12"/>
      <c r="D63" s="12"/>
      <c r="E63" s="12"/>
      <c r="F63" s="12"/>
      <c r="G63" s="12"/>
      <c r="H63" s="12"/>
      <c r="I63" s="12"/>
      <c r="J63" s="14"/>
    </row>
    <row r="64" spans="1:10">
      <c r="A64" s="12"/>
      <c r="B64" s="12"/>
      <c r="C64" s="12"/>
      <c r="D64" s="12"/>
      <c r="E64" s="12"/>
      <c r="F64" s="12"/>
      <c r="G64" s="12"/>
      <c r="H64" s="12"/>
      <c r="I64" s="12"/>
      <c r="J64" s="14"/>
    </row>
    <row r="65" spans="1:10">
      <c r="A65" s="12"/>
      <c r="B65" s="12"/>
      <c r="C65" s="12"/>
      <c r="D65" s="12"/>
      <c r="E65" s="12"/>
      <c r="F65" s="12"/>
      <c r="G65" s="12"/>
      <c r="H65" s="12"/>
      <c r="I65" s="12"/>
      <c r="J65" s="14"/>
    </row>
    <row r="66" spans="1:10">
      <c r="A66" s="12"/>
      <c r="B66" s="12"/>
      <c r="C66" s="12"/>
      <c r="D66" s="12"/>
      <c r="E66" s="12"/>
      <c r="F66" s="12"/>
      <c r="G66" s="12"/>
      <c r="H66" s="12"/>
      <c r="I66" s="12"/>
      <c r="J66" s="14"/>
    </row>
    <row r="67" spans="1:10">
      <c r="A67" s="12"/>
      <c r="B67" s="12"/>
      <c r="C67" s="12"/>
      <c r="D67" s="12"/>
      <c r="E67" s="12"/>
      <c r="F67" s="12"/>
      <c r="G67" s="12"/>
      <c r="H67" s="12"/>
      <c r="I67" s="12"/>
      <c r="J67" s="14"/>
    </row>
  </sheetData>
  <mergeCells count="3">
    <mergeCell ref="A1:F1"/>
    <mergeCell ref="A2:F2"/>
    <mergeCell ref="A54:F54"/>
  </mergeCells>
  <phoneticPr fontId="6" type="noConversion"/>
  <conditionalFormatting sqref="B32 B16">
    <cfRule type="cellIs" priority="1" stopIfTrue="1" operator="greaterThanOrEqual">
      <formula>0</formula>
    </cfRule>
  </conditionalFormatting>
  <dataValidations disablePrompts="1" count="2">
    <dataValidation type="whole" operator="greaterThanOrEqual" allowBlank="1" showInputMessage="1" showErrorMessage="1" sqref="B32 B16">
      <formula1>0</formula1>
    </dataValidation>
    <dataValidation operator="lessThanOrEqual" allowBlank="1" showErrorMessage="1" promptTitle="Valores Negativos!" prompt="Coloque os valores com &quot;-&quot; na frente para registrar os valores como negativos!" sqref="C24:F24 C6:F6"/>
  </dataValidations>
  <pageMargins left="0.59055118110236227" right="0.59055118110236227" top="1.03125" bottom="0.78740157480314965" header="0.51181102362204722" footer="0.51181102362204722"/>
  <pageSetup paperSize="9" orientation="landscape" verticalDpi="0" r:id="rId1"/>
  <headerFooter alignWithMargins="0">
    <oddHeader xml:space="preserve">&amp;LESTADO DO RIO GRANDE DO SUL
PREFEITURA MUNICIPAL DE BOA VISTA DO CADEADO
</oddHeader>
  </headerFooter>
</worksheet>
</file>

<file path=xl/worksheets/sheet7.xml><?xml version="1.0" encoding="utf-8"?>
<worksheet xmlns="http://schemas.openxmlformats.org/spreadsheetml/2006/main" xmlns:r="http://schemas.openxmlformats.org/officeDocument/2006/relationships">
  <sheetPr codeName="Plan15"/>
  <dimension ref="A1:H36"/>
  <sheetViews>
    <sheetView view="pageBreakPreview" zoomScale="60" zoomScaleNormal="100" workbookViewId="0">
      <selection activeCell="A2" sqref="A2:J2"/>
    </sheetView>
  </sheetViews>
  <sheetFormatPr defaultColWidth="25.7109375" defaultRowHeight="11.25" customHeight="1"/>
  <cols>
    <col min="1" max="1" width="28.85546875" style="263" customWidth="1"/>
    <col min="2" max="2" width="17.7109375" style="263" customWidth="1"/>
    <col min="3" max="3" width="14.28515625" style="263" customWidth="1"/>
    <col min="4" max="4" width="19.140625" style="263" customWidth="1"/>
    <col min="5" max="5" width="10.28515625" style="263" customWidth="1"/>
    <col min="6" max="6" width="13.28515625" style="263" customWidth="1"/>
    <col min="7" max="7" width="11" style="263" customWidth="1"/>
    <col min="8" max="16384" width="25.7109375" style="263"/>
  </cols>
  <sheetData>
    <row r="1" spans="1:8" ht="11.25" customHeight="1">
      <c r="B1" s="296"/>
      <c r="C1" s="296"/>
      <c r="D1" s="296"/>
      <c r="E1" s="296"/>
      <c r="F1" s="297"/>
      <c r="G1" s="297"/>
    </row>
    <row r="2" spans="1:8" ht="13.5" customHeight="1">
      <c r="A2" s="535" t="s">
        <v>81</v>
      </c>
      <c r="B2" s="535"/>
      <c r="C2" s="535"/>
      <c r="D2" s="535"/>
      <c r="E2" s="535"/>
      <c r="F2" s="535"/>
      <c r="G2" s="535"/>
      <c r="H2" s="298"/>
    </row>
    <row r="3" spans="1:8" ht="11.25" customHeight="1">
      <c r="A3" s="535" t="s">
        <v>136</v>
      </c>
      <c r="B3" s="535"/>
      <c r="C3" s="535"/>
      <c r="D3" s="535"/>
      <c r="E3" s="535"/>
      <c r="F3" s="535"/>
      <c r="G3" s="535"/>
      <c r="H3" s="298"/>
    </row>
    <row r="4" spans="1:8" ht="12.75" customHeight="1">
      <c r="A4" s="534" t="s">
        <v>252</v>
      </c>
      <c r="B4" s="526"/>
      <c r="C4" s="526"/>
      <c r="D4" s="526"/>
      <c r="E4" s="526"/>
      <c r="F4" s="526"/>
      <c r="G4" s="526"/>
      <c r="H4" s="298"/>
    </row>
    <row r="5" spans="1:8" ht="15" customHeight="1">
      <c r="A5" s="526" t="s">
        <v>251</v>
      </c>
      <c r="B5" s="526"/>
      <c r="C5" s="526"/>
      <c r="D5" s="526"/>
      <c r="E5" s="526"/>
      <c r="F5" s="526"/>
      <c r="G5" s="526"/>
      <c r="H5" s="298"/>
    </row>
    <row r="6" spans="1:8" ht="11.25" customHeight="1">
      <c r="A6" s="525">
        <v>2010</v>
      </c>
      <c r="B6" s="526"/>
      <c r="C6" s="526"/>
      <c r="D6" s="526"/>
      <c r="E6" s="526"/>
      <c r="F6" s="526"/>
      <c r="G6" s="526"/>
      <c r="H6" s="298"/>
    </row>
    <row r="7" spans="1:8" ht="11.25" customHeight="1">
      <c r="A7" s="299"/>
      <c r="B7" s="300"/>
      <c r="C7" s="300"/>
      <c r="D7" s="300"/>
      <c r="E7" s="300"/>
      <c r="F7" s="301"/>
      <c r="G7" s="301"/>
      <c r="H7" s="298"/>
    </row>
    <row r="8" spans="1:8" ht="11.25" customHeight="1">
      <c r="A8" s="299"/>
      <c r="B8" s="300"/>
      <c r="C8" s="300"/>
      <c r="D8" s="300"/>
      <c r="E8" s="300"/>
      <c r="F8" s="301"/>
      <c r="G8" s="301"/>
      <c r="H8" s="298"/>
    </row>
    <row r="9" spans="1:8" ht="9.75" customHeight="1">
      <c r="A9" s="299"/>
      <c r="B9" s="300"/>
      <c r="C9" s="300"/>
      <c r="D9" s="300"/>
      <c r="E9" s="300"/>
      <c r="F9" s="301"/>
      <c r="G9" s="301"/>
      <c r="H9" s="298"/>
    </row>
    <row r="10" spans="1:8" ht="13.5" customHeight="1">
      <c r="A10" s="299" t="s">
        <v>28</v>
      </c>
      <c r="B10" s="302"/>
      <c r="C10" s="302"/>
      <c r="D10" s="302"/>
      <c r="E10" s="302"/>
      <c r="F10" s="303"/>
      <c r="G10" s="301">
        <v>1</v>
      </c>
      <c r="H10" s="298"/>
    </row>
    <row r="11" spans="1:8" ht="11.25" customHeight="1">
      <c r="A11" s="537" t="s">
        <v>78</v>
      </c>
      <c r="B11" s="304" t="s">
        <v>1</v>
      </c>
      <c r="C11" s="540" t="s">
        <v>84</v>
      </c>
      <c r="D11" s="304" t="s">
        <v>2</v>
      </c>
      <c r="E11" s="540" t="s">
        <v>84</v>
      </c>
      <c r="F11" s="543" t="s">
        <v>3</v>
      </c>
      <c r="G11" s="544"/>
      <c r="H11" s="298"/>
    </row>
    <row r="12" spans="1:8" ht="11.25" customHeight="1">
      <c r="A12" s="538"/>
      <c r="B12" s="305">
        <v>2008</v>
      </c>
      <c r="C12" s="541"/>
      <c r="D12" s="305">
        <v>2008</v>
      </c>
      <c r="E12" s="541"/>
      <c r="F12" s="306" t="s">
        <v>83</v>
      </c>
      <c r="G12" s="307" t="s">
        <v>57</v>
      </c>
      <c r="H12" s="298"/>
    </row>
    <row r="13" spans="1:8" ht="11.25" customHeight="1">
      <c r="A13" s="539"/>
      <c r="B13" s="308" t="s">
        <v>58</v>
      </c>
      <c r="C13" s="542"/>
      <c r="D13" s="308" t="s">
        <v>59</v>
      </c>
      <c r="E13" s="542"/>
      <c r="F13" s="309" t="s">
        <v>4</v>
      </c>
      <c r="G13" s="310" t="s">
        <v>5</v>
      </c>
      <c r="H13" s="298"/>
    </row>
    <row r="14" spans="1:8" ht="11.25" customHeight="1">
      <c r="A14" s="311" t="s">
        <v>96</v>
      </c>
      <c r="B14" s="312">
        <v>6381000</v>
      </c>
      <c r="C14" s="313">
        <f t="shared" ref="C14:C21" si="0">B14/193485000000*100</f>
        <v>3.2979300720986119E-3</v>
      </c>
      <c r="D14" s="314">
        <v>7690502.5099999998</v>
      </c>
      <c r="E14" s="313">
        <f t="shared" ref="E14:E21" si="1">D14/193485000000*100</f>
        <v>3.9747280202599685E-3</v>
      </c>
      <c r="F14" s="315">
        <f t="shared" ref="F14:F21" si="2">D14-B14</f>
        <v>1309502.5099999998</v>
      </c>
      <c r="G14" s="322">
        <f>F14/D14*100</f>
        <v>17.027528543125069</v>
      </c>
      <c r="H14" s="298"/>
    </row>
    <row r="15" spans="1:8" ht="11.25" customHeight="1">
      <c r="A15" s="311" t="s">
        <v>97</v>
      </c>
      <c r="B15" s="316">
        <v>6302837</v>
      </c>
      <c r="C15" s="313">
        <f t="shared" si="0"/>
        <v>3.2575326252681086E-3</v>
      </c>
      <c r="D15" s="314">
        <v>7690502.5099999998</v>
      </c>
      <c r="E15" s="313">
        <f t="shared" si="1"/>
        <v>3.9747280202599685E-3</v>
      </c>
      <c r="F15" s="315">
        <f t="shared" si="2"/>
        <v>1387665.5099999998</v>
      </c>
      <c r="G15" s="322">
        <f t="shared" ref="G15:G21" si="3">F15/D15*100</f>
        <v>18.043886055503023</v>
      </c>
      <c r="H15" s="298"/>
    </row>
    <row r="16" spans="1:8" ht="11.25" customHeight="1">
      <c r="A16" s="311" t="s">
        <v>98</v>
      </c>
      <c r="B16" s="316">
        <v>6381000</v>
      </c>
      <c r="C16" s="313">
        <f t="shared" si="0"/>
        <v>3.2979300720986119E-3</v>
      </c>
      <c r="D16" s="314">
        <v>7815585.96</v>
      </c>
      <c r="E16" s="313">
        <f t="shared" si="1"/>
        <v>4.0393756415225985E-3</v>
      </c>
      <c r="F16" s="315">
        <f t="shared" si="2"/>
        <v>1434585.96</v>
      </c>
      <c r="G16" s="322">
        <f t="shared" si="3"/>
        <v>18.355449832452486</v>
      </c>
      <c r="H16" s="298"/>
    </row>
    <row r="17" spans="1:8" ht="11.25" customHeight="1">
      <c r="A17" s="311" t="s">
        <v>91</v>
      </c>
      <c r="B17" s="316">
        <v>6381000</v>
      </c>
      <c r="C17" s="313">
        <f t="shared" si="0"/>
        <v>3.2979300720986119E-3</v>
      </c>
      <c r="D17" s="314">
        <v>7815585.96</v>
      </c>
      <c r="E17" s="313">
        <f t="shared" si="1"/>
        <v>4.0393756415225985E-3</v>
      </c>
      <c r="F17" s="315">
        <f t="shared" si="2"/>
        <v>1434585.96</v>
      </c>
      <c r="G17" s="322">
        <f t="shared" si="3"/>
        <v>18.355449832452486</v>
      </c>
      <c r="H17" s="298"/>
    </row>
    <row r="18" spans="1:8" ht="11.25" customHeight="1">
      <c r="A18" s="311" t="s">
        <v>92</v>
      </c>
      <c r="B18" s="317">
        <v>-78163</v>
      </c>
      <c r="C18" s="313">
        <f t="shared" si="0"/>
        <v>-4.0397446830503655E-5</v>
      </c>
      <c r="D18" s="314">
        <v>680117.36</v>
      </c>
      <c r="E18" s="313">
        <f t="shared" si="1"/>
        <v>3.5150908855983667E-4</v>
      </c>
      <c r="F18" s="315">
        <f t="shared" si="2"/>
        <v>758280.36</v>
      </c>
      <c r="G18" s="322">
        <f t="shared" si="3"/>
        <v>111.49257534023245</v>
      </c>
      <c r="H18" s="298"/>
    </row>
    <row r="19" spans="1:8" ht="11.25" customHeight="1">
      <c r="A19" s="311" t="s">
        <v>12</v>
      </c>
      <c r="B19" s="314">
        <v>307608.84000000003</v>
      </c>
      <c r="C19" s="313">
        <f t="shared" si="0"/>
        <v>1.5898330103108769E-4</v>
      </c>
      <c r="D19" s="314">
        <v>130552.08</v>
      </c>
      <c r="E19" s="313">
        <f t="shared" si="1"/>
        <v>6.7474005736878825E-5</v>
      </c>
      <c r="F19" s="315">
        <f t="shared" si="2"/>
        <v>-177056.76</v>
      </c>
      <c r="G19" s="322">
        <f t="shared" si="3"/>
        <v>-135.62155424869525</v>
      </c>
      <c r="H19" s="298"/>
    </row>
    <row r="20" spans="1:8" ht="11.25" customHeight="1">
      <c r="A20" s="311" t="s">
        <v>99</v>
      </c>
      <c r="B20" s="318">
        <v>0</v>
      </c>
      <c r="C20" s="313">
        <f t="shared" si="0"/>
        <v>0</v>
      </c>
      <c r="D20" s="314">
        <v>0</v>
      </c>
      <c r="E20" s="313">
        <f t="shared" si="1"/>
        <v>0</v>
      </c>
      <c r="F20" s="315">
        <f t="shared" si="2"/>
        <v>0</v>
      </c>
      <c r="G20" s="322">
        <v>0</v>
      </c>
      <c r="H20" s="298"/>
    </row>
    <row r="21" spans="1:8" ht="11.25" customHeight="1">
      <c r="A21" s="319" t="s">
        <v>100</v>
      </c>
      <c r="B21" s="320">
        <v>-652350</v>
      </c>
      <c r="C21" s="313">
        <f t="shared" si="0"/>
        <v>-3.3715791921854409E-4</v>
      </c>
      <c r="D21" s="321">
        <v>-1180725.8</v>
      </c>
      <c r="E21" s="313">
        <f t="shared" si="1"/>
        <v>-6.1024151743029184E-4</v>
      </c>
      <c r="F21" s="315">
        <f t="shared" si="2"/>
        <v>-528375.80000000005</v>
      </c>
      <c r="G21" s="322">
        <f t="shared" si="3"/>
        <v>44.750085074790441</v>
      </c>
      <c r="H21" s="298"/>
    </row>
    <row r="22" spans="1:8" ht="11.25" customHeight="1">
      <c r="A22" s="536" t="s">
        <v>443</v>
      </c>
      <c r="B22" s="536"/>
      <c r="C22" s="536"/>
      <c r="D22" s="536"/>
      <c r="E22" s="536"/>
      <c r="F22" s="536"/>
      <c r="G22" s="536"/>
      <c r="H22" s="298"/>
    </row>
    <row r="23" spans="1:8" ht="11.25" customHeight="1">
      <c r="A23" s="298"/>
      <c r="B23" s="298"/>
      <c r="C23" s="298"/>
      <c r="D23" s="298"/>
      <c r="E23" s="298"/>
      <c r="F23" s="298"/>
      <c r="G23" s="298"/>
      <c r="H23" s="298"/>
    </row>
    <row r="24" spans="1:8" ht="11.25" customHeight="1">
      <c r="A24" s="298"/>
      <c r="B24" s="298"/>
      <c r="C24" s="298"/>
      <c r="D24" s="298"/>
      <c r="E24" s="298"/>
      <c r="F24" s="298"/>
      <c r="G24" s="298"/>
      <c r="H24" s="298"/>
    </row>
    <row r="25" spans="1:8" ht="11.25" customHeight="1">
      <c r="A25" s="489" t="s">
        <v>442</v>
      </c>
      <c r="B25" s="489"/>
      <c r="C25" s="489"/>
      <c r="D25" s="489"/>
      <c r="E25" s="489"/>
      <c r="F25" s="489"/>
      <c r="G25" s="489"/>
      <c r="H25" s="298"/>
    </row>
    <row r="26" spans="1:8" ht="11.25" customHeight="1">
      <c r="A26" s="489"/>
      <c r="B26" s="489"/>
      <c r="C26" s="489"/>
      <c r="D26" s="489"/>
      <c r="E26" s="489"/>
      <c r="F26" s="489"/>
      <c r="G26" s="489"/>
      <c r="H26" s="298"/>
    </row>
    <row r="27" spans="1:8" ht="11.25" customHeight="1">
      <c r="A27" s="489"/>
      <c r="B27" s="489"/>
      <c r="C27" s="489"/>
      <c r="D27" s="489"/>
      <c r="E27" s="489"/>
      <c r="F27" s="489"/>
      <c r="G27" s="489"/>
      <c r="H27" s="298"/>
    </row>
    <row r="28" spans="1:8" ht="44.25" customHeight="1">
      <c r="A28" s="489"/>
      <c r="B28" s="489"/>
      <c r="C28" s="489"/>
      <c r="D28" s="489"/>
      <c r="E28" s="489"/>
      <c r="F28" s="489"/>
      <c r="G28" s="489"/>
    </row>
    <row r="31" spans="1:8" ht="11.25" customHeight="1">
      <c r="A31" s="185" t="s">
        <v>430</v>
      </c>
      <c r="B31" s="185"/>
      <c r="C31" s="186"/>
      <c r="D31" s="186"/>
      <c r="E31" s="12"/>
      <c r="F31" s="12"/>
      <c r="G31" s="12"/>
      <c r="H31" s="12"/>
    </row>
    <row r="32" spans="1:8" ht="11.25" customHeight="1">
      <c r="A32" s="185"/>
      <c r="B32" s="185"/>
      <c r="C32" s="186"/>
      <c r="D32" s="186"/>
      <c r="E32" s="12"/>
      <c r="F32" s="12"/>
      <c r="G32" s="12"/>
      <c r="H32" s="12"/>
    </row>
    <row r="33" spans="1:8" ht="11.25" customHeight="1">
      <c r="A33" s="185"/>
      <c r="B33" s="185"/>
      <c r="C33" s="186"/>
      <c r="D33" s="186"/>
      <c r="E33" s="12"/>
      <c r="F33" s="12"/>
      <c r="G33" s="12"/>
      <c r="H33" s="12"/>
    </row>
    <row r="34" spans="1:8" ht="11.25" customHeight="1">
      <c r="A34" s="185"/>
      <c r="B34" s="185"/>
      <c r="C34" s="186"/>
      <c r="D34" s="187"/>
      <c r="E34" s="12"/>
      <c r="F34" s="12"/>
      <c r="G34" s="12"/>
      <c r="H34" s="12"/>
    </row>
    <row r="35" spans="1:8" ht="11.25" customHeight="1">
      <c r="A35" s="187" t="s">
        <v>434</v>
      </c>
      <c r="B35" s="183" t="s">
        <v>436</v>
      </c>
      <c r="C35" s="186"/>
      <c r="D35" s="187"/>
      <c r="E35" s="186" t="s">
        <v>431</v>
      </c>
      <c r="F35" s="12"/>
      <c r="G35" s="12"/>
      <c r="H35" s="12"/>
    </row>
    <row r="36" spans="1:8" ht="11.25" customHeight="1">
      <c r="A36" s="185" t="s">
        <v>435</v>
      </c>
      <c r="B36" s="183" t="s">
        <v>437</v>
      </c>
      <c r="C36" s="188"/>
      <c r="D36" s="185"/>
      <c r="E36" s="188" t="s">
        <v>429</v>
      </c>
      <c r="F36" s="12"/>
      <c r="G36" s="12"/>
      <c r="H36" s="12"/>
    </row>
  </sheetData>
  <mergeCells count="11">
    <mergeCell ref="A25:G28"/>
    <mergeCell ref="A4:G4"/>
    <mergeCell ref="A5:G5"/>
    <mergeCell ref="A2:G2"/>
    <mergeCell ref="A3:G3"/>
    <mergeCell ref="A6:G6"/>
    <mergeCell ref="A22:G22"/>
    <mergeCell ref="A11:A13"/>
    <mergeCell ref="C11:C13"/>
    <mergeCell ref="E11:E13"/>
    <mergeCell ref="F11:G11"/>
  </mergeCells>
  <phoneticPr fontId="6" type="noConversion"/>
  <pageMargins left="1.08" right="0.78740157480314965" top="1.1200000000000001" bottom="0.98425196850393704" header="0.51181102362204722" footer="0.51181102362204722"/>
  <pageSetup paperSize="9" scale="75" orientation="landscape" verticalDpi="0" r:id="rId1"/>
  <headerFooter alignWithMargins="0">
    <oddHeader xml:space="preserve">&amp;LESTADO DO RIO GRANDE DO SUL
PREFEITURA MUNICIPAL DE BOA VISTA DO CADEADO
</oddHeader>
  </headerFooter>
</worksheet>
</file>

<file path=xl/worksheets/sheet8.xml><?xml version="1.0" encoding="utf-8"?>
<worksheet xmlns="http://schemas.openxmlformats.org/spreadsheetml/2006/main" xmlns:r="http://schemas.openxmlformats.org/officeDocument/2006/relationships">
  <sheetPr codeName="Plan21"/>
  <dimension ref="A1:M47"/>
  <sheetViews>
    <sheetView view="pageBreakPreview" topLeftCell="A17" zoomScale="60" zoomScaleNormal="100" workbookViewId="0">
      <selection activeCell="A2" sqref="A2:J2"/>
    </sheetView>
  </sheetViews>
  <sheetFormatPr defaultRowHeight="11.25" customHeight="1"/>
  <cols>
    <col min="1" max="1" width="26.42578125" style="1" customWidth="1"/>
    <col min="2" max="2" width="13.7109375" style="1" customWidth="1"/>
    <col min="3" max="3" width="12.7109375" style="1" customWidth="1"/>
    <col min="4" max="4" width="8.85546875" style="1" customWidth="1"/>
    <col min="5" max="5" width="13" style="1" customWidth="1"/>
    <col min="6" max="6" width="8.85546875" style="1" customWidth="1"/>
    <col min="7" max="7" width="12.7109375" style="1" customWidth="1"/>
    <col min="8" max="8" width="11.5703125" style="1" customWidth="1"/>
    <col min="9" max="9" width="12.7109375" style="1" customWidth="1"/>
    <col min="10" max="10" width="8.85546875" style="1" customWidth="1"/>
    <col min="11" max="11" width="12.140625" style="1" customWidth="1"/>
    <col min="12" max="12" width="8.85546875" style="1" customWidth="1"/>
    <col min="13" max="16384" width="9.140625" style="1"/>
  </cols>
  <sheetData>
    <row r="1" spans="1:13" s="2" customFormat="1" ht="11.25" customHeight="1"/>
    <row r="2" spans="1:13" s="2" customFormat="1" ht="11.25" customHeight="1">
      <c r="A2" s="551" t="s">
        <v>81</v>
      </c>
      <c r="B2" s="551"/>
      <c r="C2" s="551"/>
      <c r="D2" s="551"/>
      <c r="E2" s="551"/>
      <c r="F2" s="551"/>
      <c r="G2" s="551"/>
      <c r="H2" s="551"/>
      <c r="I2" s="551"/>
      <c r="J2" s="551"/>
      <c r="K2" s="551"/>
      <c r="L2" s="551"/>
      <c r="M2" s="11"/>
    </row>
    <row r="3" spans="1:13" s="2" customFormat="1" ht="11.25" customHeight="1">
      <c r="A3" s="551" t="s">
        <v>136</v>
      </c>
      <c r="B3" s="551"/>
      <c r="C3" s="551"/>
      <c r="D3" s="551"/>
      <c r="E3" s="551"/>
      <c r="F3" s="551"/>
      <c r="G3" s="551"/>
      <c r="H3" s="551"/>
      <c r="I3" s="551"/>
      <c r="J3" s="551"/>
      <c r="K3" s="551"/>
      <c r="L3" s="551"/>
      <c r="M3" s="11"/>
    </row>
    <row r="4" spans="1:13" s="2" customFormat="1" ht="11.25" customHeight="1">
      <c r="A4" s="552" t="s">
        <v>252</v>
      </c>
      <c r="B4" s="553"/>
      <c r="C4" s="553"/>
      <c r="D4" s="553"/>
      <c r="E4" s="553"/>
      <c r="F4" s="553"/>
      <c r="G4" s="553"/>
      <c r="H4" s="553"/>
      <c r="I4" s="553"/>
      <c r="J4" s="553"/>
      <c r="K4" s="553"/>
      <c r="L4" s="553"/>
      <c r="M4" s="326"/>
    </row>
    <row r="5" spans="1:13" s="2" customFormat="1" ht="11.25" customHeight="1">
      <c r="A5" s="553" t="s">
        <v>261</v>
      </c>
      <c r="B5" s="553"/>
      <c r="C5" s="553"/>
      <c r="D5" s="553"/>
      <c r="E5" s="553"/>
      <c r="F5" s="553"/>
      <c r="G5" s="553"/>
      <c r="H5" s="553"/>
      <c r="I5" s="553"/>
      <c r="J5" s="553"/>
      <c r="K5" s="553"/>
      <c r="L5" s="553"/>
      <c r="M5" s="326"/>
    </row>
    <row r="6" spans="1:13" s="2" customFormat="1" ht="11.25" customHeight="1">
      <c r="A6" s="554">
        <v>2010</v>
      </c>
      <c r="B6" s="553"/>
      <c r="C6" s="553"/>
      <c r="D6" s="553"/>
      <c r="E6" s="553"/>
      <c r="F6" s="553"/>
      <c r="G6" s="553"/>
      <c r="H6" s="553"/>
      <c r="I6" s="553"/>
      <c r="J6" s="553"/>
      <c r="K6" s="553"/>
      <c r="L6" s="553"/>
      <c r="M6" s="326"/>
    </row>
    <row r="7" spans="1:13" s="2" customFormat="1" ht="11.25" customHeight="1"/>
    <row r="8" spans="1:13" ht="11.25" customHeight="1">
      <c r="A8" s="549" t="s">
        <v>29</v>
      </c>
      <c r="B8" s="550"/>
      <c r="C8" s="327"/>
      <c r="D8" s="327"/>
      <c r="E8" s="327"/>
      <c r="F8" s="327"/>
      <c r="G8" s="327"/>
      <c r="H8" s="327"/>
      <c r="I8" s="327"/>
      <c r="J8" s="327"/>
      <c r="K8" s="327"/>
      <c r="L8" s="328">
        <v>1</v>
      </c>
    </row>
    <row r="9" spans="1:13" ht="11.25" customHeight="1">
      <c r="A9" s="329"/>
      <c r="B9" s="546" t="s">
        <v>101</v>
      </c>
      <c r="C9" s="547"/>
      <c r="D9" s="547"/>
      <c r="E9" s="547"/>
      <c r="F9" s="547"/>
      <c r="G9" s="547"/>
      <c r="H9" s="547"/>
      <c r="I9" s="547"/>
      <c r="J9" s="547"/>
      <c r="K9" s="547"/>
      <c r="L9" s="547"/>
    </row>
    <row r="10" spans="1:13" s="3" customFormat="1" ht="11.25" customHeight="1">
      <c r="A10" s="330" t="s">
        <v>78</v>
      </c>
      <c r="B10" s="331">
        <v>2007</v>
      </c>
      <c r="C10" s="332">
        <v>2008</v>
      </c>
      <c r="D10" s="333" t="s">
        <v>57</v>
      </c>
      <c r="E10" s="330">
        <v>2009</v>
      </c>
      <c r="F10" s="333" t="s">
        <v>57</v>
      </c>
      <c r="G10" s="330">
        <v>2010</v>
      </c>
      <c r="H10" s="333" t="s">
        <v>57</v>
      </c>
      <c r="I10" s="330">
        <v>2011</v>
      </c>
      <c r="J10" s="333" t="s">
        <v>57</v>
      </c>
      <c r="K10" s="330">
        <v>2012</v>
      </c>
      <c r="L10" s="332" t="s">
        <v>57</v>
      </c>
    </row>
    <row r="11" spans="1:13" s="3" customFormat="1" ht="11.25" customHeight="1">
      <c r="A11" s="334"/>
      <c r="B11" s="335"/>
      <c r="C11" s="335"/>
      <c r="D11" s="336"/>
      <c r="E11" s="327"/>
      <c r="F11" s="336"/>
      <c r="G11" s="337"/>
      <c r="H11" s="338"/>
      <c r="I11" s="334"/>
      <c r="J11" s="338"/>
      <c r="K11" s="334"/>
      <c r="L11" s="339"/>
    </row>
    <row r="12" spans="1:13" ht="11.25" customHeight="1">
      <c r="A12" s="329" t="s">
        <v>96</v>
      </c>
      <c r="B12" s="340">
        <v>6186000</v>
      </c>
      <c r="C12" s="340">
        <v>6381000</v>
      </c>
      <c r="D12" s="341">
        <f>(C12-B12)/C12*100</f>
        <v>3.0559473436765399</v>
      </c>
      <c r="E12" s="342">
        <v>7601000</v>
      </c>
      <c r="F12" s="343">
        <f t="shared" ref="F12:F17" si="0">(E12-C12)/E12*100</f>
        <v>16.050519668464673</v>
      </c>
      <c r="G12" s="324">
        <v>8539200</v>
      </c>
      <c r="H12" s="343">
        <f>(G12-E12)/G12*100</f>
        <v>10.986977702829305</v>
      </c>
      <c r="I12" s="324">
        <v>8837000</v>
      </c>
      <c r="J12" s="344">
        <f>(I12-G12)/I12*100</f>
        <v>3.3699219192033496</v>
      </c>
      <c r="K12" s="324">
        <v>9134200</v>
      </c>
      <c r="L12" s="344">
        <f t="shared" ref="J12:L19" si="1">(K12-I12)/K12*100</f>
        <v>3.2537058527293028</v>
      </c>
    </row>
    <row r="13" spans="1:13" ht="11.25" customHeight="1">
      <c r="A13" s="327" t="s">
        <v>97</v>
      </c>
      <c r="B13" s="345">
        <v>6142000</v>
      </c>
      <c r="C13" s="345">
        <v>6302837</v>
      </c>
      <c r="D13" s="346">
        <f t="shared" ref="D13:D19" si="2">(C13-B13)/C13*100</f>
        <v>2.5518191252605771</v>
      </c>
      <c r="E13" s="347">
        <v>7485000</v>
      </c>
      <c r="F13" s="344">
        <f t="shared" si="0"/>
        <v>15.79376085504342</v>
      </c>
      <c r="G13" s="324">
        <v>8539200</v>
      </c>
      <c r="H13" s="344">
        <f>(G13-E13)/G13*100</f>
        <v>12.345418774592467</v>
      </c>
      <c r="I13" s="324">
        <v>8837000</v>
      </c>
      <c r="J13" s="344">
        <f t="shared" si="1"/>
        <v>3.3699219192033496</v>
      </c>
      <c r="K13" s="324">
        <v>9134200</v>
      </c>
      <c r="L13" s="344">
        <f t="shared" si="1"/>
        <v>3.2537058527293028</v>
      </c>
    </row>
    <row r="14" spans="1:13" ht="11.25" customHeight="1">
      <c r="A14" s="327" t="s">
        <v>98</v>
      </c>
      <c r="B14" s="345">
        <v>6186000</v>
      </c>
      <c r="C14" s="345">
        <v>6381000</v>
      </c>
      <c r="D14" s="346">
        <f t="shared" si="2"/>
        <v>3.0559473436765399</v>
      </c>
      <c r="E14" s="347">
        <v>7601000</v>
      </c>
      <c r="F14" s="344">
        <f t="shared" si="0"/>
        <v>16.050519668464673</v>
      </c>
      <c r="G14" s="324">
        <v>8600000</v>
      </c>
      <c r="H14" s="344">
        <f t="shared" ref="H14:H19" si="3">(G14-E14)/G14*100</f>
        <v>11.616279069767442</v>
      </c>
      <c r="I14" s="324">
        <v>8900000</v>
      </c>
      <c r="J14" s="344">
        <f t="shared" si="1"/>
        <v>3.3707865168539324</v>
      </c>
      <c r="K14" s="324">
        <v>9200000</v>
      </c>
      <c r="L14" s="344">
        <f t="shared" si="1"/>
        <v>3.2608695652173911</v>
      </c>
    </row>
    <row r="15" spans="1:13" ht="11.25" customHeight="1">
      <c r="A15" s="327" t="s">
        <v>91</v>
      </c>
      <c r="B15" s="345">
        <v>6186000</v>
      </c>
      <c r="C15" s="345">
        <v>6381000</v>
      </c>
      <c r="D15" s="346">
        <f t="shared" si="2"/>
        <v>3.0559473436765399</v>
      </c>
      <c r="E15" s="347">
        <v>7601000</v>
      </c>
      <c r="F15" s="344">
        <f t="shared" si="0"/>
        <v>16.050519668464673</v>
      </c>
      <c r="G15" s="324">
        <v>8600000</v>
      </c>
      <c r="H15" s="344">
        <f t="shared" si="3"/>
        <v>11.616279069767442</v>
      </c>
      <c r="I15" s="324">
        <v>8900000</v>
      </c>
      <c r="J15" s="344">
        <f t="shared" si="1"/>
        <v>3.3707865168539324</v>
      </c>
      <c r="K15" s="324">
        <v>9200000</v>
      </c>
      <c r="L15" s="344">
        <f t="shared" si="1"/>
        <v>3.2608695652173911</v>
      </c>
    </row>
    <row r="16" spans="1:13" ht="11.25" customHeight="1">
      <c r="A16" s="327" t="s">
        <v>0</v>
      </c>
      <c r="B16" s="345">
        <f>B13-B15</f>
        <v>-44000</v>
      </c>
      <c r="C16" s="345">
        <f>C13-C15</f>
        <v>-78163</v>
      </c>
      <c r="D16" s="346">
        <f t="shared" si="2"/>
        <v>43.707380730012922</v>
      </c>
      <c r="E16" s="347">
        <f>E13-E15</f>
        <v>-116000</v>
      </c>
      <c r="F16" s="344">
        <f t="shared" si="0"/>
        <v>32.618103448275868</v>
      </c>
      <c r="G16" s="324">
        <f>G13-G15</f>
        <v>-60800</v>
      </c>
      <c r="H16" s="344">
        <f t="shared" si="3"/>
        <v>-90.789473684210535</v>
      </c>
      <c r="I16" s="324">
        <f>I13-I15</f>
        <v>-63000</v>
      </c>
      <c r="J16" s="344">
        <f t="shared" si="1"/>
        <v>3.4920634920634921</v>
      </c>
      <c r="K16" s="324">
        <f>K13-K15</f>
        <v>-65800</v>
      </c>
      <c r="L16" s="344">
        <f t="shared" si="1"/>
        <v>4.2553191489361701</v>
      </c>
    </row>
    <row r="17" spans="1:12" ht="11.25" customHeight="1">
      <c r="A17" s="327" t="s">
        <v>12</v>
      </c>
      <c r="B17" s="345">
        <v>673690</v>
      </c>
      <c r="C17" s="345">
        <v>187847</v>
      </c>
      <c r="D17" s="346">
        <f t="shared" si="2"/>
        <v>-258.63761465447948</v>
      </c>
      <c r="E17" s="347">
        <v>232490</v>
      </c>
      <c r="F17" s="344">
        <f t="shared" si="0"/>
        <v>19.202116220052474</v>
      </c>
      <c r="G17" s="324">
        <v>298872</v>
      </c>
      <c r="H17" s="344">
        <f t="shared" si="3"/>
        <v>22.210846114724696</v>
      </c>
      <c r="I17" s="324">
        <v>63000</v>
      </c>
      <c r="J17" s="344">
        <f t="shared" si="1"/>
        <v>-374.40000000000003</v>
      </c>
      <c r="K17" s="324">
        <v>65800</v>
      </c>
      <c r="L17" s="344">
        <f t="shared" si="1"/>
        <v>4.2553191489361701</v>
      </c>
    </row>
    <row r="18" spans="1:12" ht="11.25" customHeight="1">
      <c r="A18" s="327" t="s">
        <v>102</v>
      </c>
      <c r="B18" s="345">
        <v>0</v>
      </c>
      <c r="C18" s="345">
        <v>0</v>
      </c>
      <c r="D18" s="346">
        <v>0</v>
      </c>
      <c r="E18" s="347">
        <v>0</v>
      </c>
      <c r="F18" s="336"/>
      <c r="G18" s="324">
        <v>0</v>
      </c>
      <c r="H18" s="344"/>
      <c r="I18" s="324"/>
      <c r="J18" s="344"/>
      <c r="K18" s="324"/>
      <c r="L18" s="344"/>
    </row>
    <row r="19" spans="1:12" ht="11.25" customHeight="1">
      <c r="A19" s="334" t="s">
        <v>100</v>
      </c>
      <c r="B19" s="348">
        <v>-306867</v>
      </c>
      <c r="C19" s="348">
        <v>-680557</v>
      </c>
      <c r="D19" s="349">
        <f t="shared" si="2"/>
        <v>54.90943447793498</v>
      </c>
      <c r="E19" s="350">
        <v>-671290</v>
      </c>
      <c r="F19" s="351">
        <f>(E19-C19)/E19*100</f>
        <v>-1.3804763961924058</v>
      </c>
      <c r="G19" s="325">
        <v>60800</v>
      </c>
      <c r="H19" s="351">
        <f t="shared" si="3"/>
        <v>1204.0953947368421</v>
      </c>
      <c r="I19" s="325">
        <v>123800</v>
      </c>
      <c r="J19" s="351">
        <f t="shared" si="1"/>
        <v>50.888529886914377</v>
      </c>
      <c r="K19" s="325">
        <v>189600</v>
      </c>
      <c r="L19" s="344">
        <f t="shared" si="1"/>
        <v>34.70464135021097</v>
      </c>
    </row>
    <row r="20" spans="1:12" ht="11.25" customHeight="1">
      <c r="A20" s="327"/>
      <c r="B20" s="327"/>
      <c r="C20" s="327"/>
      <c r="D20" s="327"/>
      <c r="E20" s="327"/>
      <c r="F20" s="327"/>
      <c r="G20" s="327"/>
      <c r="H20" s="327"/>
      <c r="I20" s="327"/>
      <c r="J20" s="327"/>
      <c r="K20" s="327"/>
      <c r="L20" s="327"/>
    </row>
    <row r="21" spans="1:12" ht="11.25" customHeight="1">
      <c r="A21" s="329"/>
      <c r="B21" s="548" t="s">
        <v>103</v>
      </c>
      <c r="C21" s="547"/>
      <c r="D21" s="547"/>
      <c r="E21" s="547"/>
      <c r="F21" s="547"/>
      <c r="G21" s="547"/>
      <c r="H21" s="547"/>
      <c r="I21" s="547"/>
      <c r="J21" s="547"/>
      <c r="K21" s="547"/>
      <c r="L21" s="547"/>
    </row>
    <row r="22" spans="1:12" s="3" customFormat="1" ht="11.25" customHeight="1">
      <c r="A22" s="330" t="s">
        <v>78</v>
      </c>
      <c r="B22" s="333">
        <v>2007</v>
      </c>
      <c r="C22" s="352">
        <v>2008</v>
      </c>
      <c r="D22" s="330" t="s">
        <v>57</v>
      </c>
      <c r="E22" s="333">
        <v>2009</v>
      </c>
      <c r="F22" s="330" t="s">
        <v>57</v>
      </c>
      <c r="G22" s="333">
        <v>2010</v>
      </c>
      <c r="H22" s="360" t="s">
        <v>57</v>
      </c>
      <c r="I22" s="333">
        <v>2011</v>
      </c>
      <c r="J22" s="360" t="s">
        <v>57</v>
      </c>
      <c r="K22" s="333">
        <v>2012</v>
      </c>
      <c r="L22" s="352" t="s">
        <v>57</v>
      </c>
    </row>
    <row r="23" spans="1:12" s="3" customFormat="1" ht="11.25" customHeight="1">
      <c r="A23" s="334"/>
      <c r="B23" s="338"/>
      <c r="C23" s="353"/>
      <c r="D23" s="334"/>
      <c r="E23" s="338"/>
      <c r="F23" s="334"/>
      <c r="G23" s="354"/>
      <c r="H23" s="334"/>
      <c r="I23" s="338"/>
      <c r="J23" s="334"/>
      <c r="K23" s="338"/>
      <c r="L23" s="353"/>
    </row>
    <row r="24" spans="1:12" ht="11.25" customHeight="1">
      <c r="A24" s="329" t="s">
        <v>96</v>
      </c>
      <c r="B24" s="343">
        <f>B12/B$35-0.96</f>
        <v>5589817.004948426</v>
      </c>
      <c r="C24" s="343">
        <f>C12/C$35-0.1</f>
        <v>6106219.9956937805</v>
      </c>
      <c r="D24" s="341">
        <f t="shared" ref="D24:D31" si="4">(C24-B24)/C24*100</f>
        <v>8.4569994384337832</v>
      </c>
      <c r="E24" s="343">
        <f>E12/C$35-0.21</f>
        <v>7273684.0005263165</v>
      </c>
      <c r="F24" s="343">
        <f t="shared" ref="F24:F31" si="5">(E24-C24)/E24*100</f>
        <v>16.050518619561412</v>
      </c>
      <c r="G24" s="346">
        <f>G12/G$36-0.25</f>
        <v>8171483.0035885172</v>
      </c>
      <c r="H24" s="344">
        <f t="shared" ref="H24:H29" si="6">(G24-E24)/G24*100</f>
        <v>10.986977549459885</v>
      </c>
      <c r="I24" s="357">
        <f>I12/I$36-0.58</f>
        <v>8092304.9990847297</v>
      </c>
      <c r="J24" s="344">
        <f t="shared" ref="J24:J29" si="7">(I24-G24)/I24*100</f>
        <v>-0.978435742507763</v>
      </c>
      <c r="K24" s="359">
        <f>K12/K$36-0.44</f>
        <v>8004268.0007583527</v>
      </c>
      <c r="L24" s="361"/>
    </row>
    <row r="25" spans="1:12" ht="11.25" customHeight="1">
      <c r="A25" s="327" t="s">
        <v>97</v>
      </c>
      <c r="B25" s="344">
        <f>B13/B$35-0.51</f>
        <v>5550057.9996529641</v>
      </c>
      <c r="C25" s="344">
        <f>C13/C$35-0.97</f>
        <v>6031421.9965071781</v>
      </c>
      <c r="D25" s="346">
        <f t="shared" si="4"/>
        <v>7.9809371178633155</v>
      </c>
      <c r="E25" s="344">
        <f>E13/C$35-0.43</f>
        <v>7162678.9958373215</v>
      </c>
      <c r="F25" s="344">
        <f t="shared" si="5"/>
        <v>15.793769342275249</v>
      </c>
      <c r="G25" s="344">
        <f>G13/G$36-0.25</f>
        <v>8171483.0035885172</v>
      </c>
      <c r="H25" s="344">
        <f t="shared" si="6"/>
        <v>12.345421355073224</v>
      </c>
      <c r="I25" s="357">
        <f>I13/I$36-0.58</f>
        <v>8092304.9990847297</v>
      </c>
      <c r="J25" s="344">
        <f t="shared" si="7"/>
        <v>-0.978435742507763</v>
      </c>
      <c r="K25" s="359">
        <f>K13/K$36-0.44</f>
        <v>8004268.0007583527</v>
      </c>
      <c r="L25" s="344">
        <f>(K25-I25)/K25*100</f>
        <v>-1.0998756952920126</v>
      </c>
    </row>
    <row r="26" spans="1:12" ht="11.25" customHeight="1">
      <c r="A26" s="327" t="s">
        <v>98</v>
      </c>
      <c r="B26" s="344">
        <f>B14/B$35-0.96</f>
        <v>5589817.004948426</v>
      </c>
      <c r="C26" s="344">
        <f>C14/C$35-0.1</f>
        <v>6106219.9956937805</v>
      </c>
      <c r="D26" s="346">
        <f t="shared" si="4"/>
        <v>8.4569994384337832</v>
      </c>
      <c r="E26" s="344">
        <f>E14/C$35-0.21</f>
        <v>7273684.0005263165</v>
      </c>
      <c r="F26" s="344">
        <f t="shared" si="5"/>
        <v>16.050518619561412</v>
      </c>
      <c r="G26" s="344">
        <f>G14/G$36-0.07</f>
        <v>8229665.0017703352</v>
      </c>
      <c r="H26" s="344">
        <f t="shared" si="6"/>
        <v>11.616280869736153</v>
      </c>
      <c r="I26" s="357">
        <f>I14/I$36-0.57</f>
        <v>8149995.996012684</v>
      </c>
      <c r="J26" s="344">
        <f t="shared" si="7"/>
        <v>-0.97753429322699881</v>
      </c>
      <c r="K26" s="359">
        <f>K14/K$36-0.76</f>
        <v>8061927.997305166</v>
      </c>
      <c r="L26" s="344">
        <f>(K26-I26)/K26*100</f>
        <v>-1.0923937640841768</v>
      </c>
    </row>
    <row r="27" spans="1:12" ht="11.25" customHeight="1">
      <c r="A27" s="327" t="s">
        <v>91</v>
      </c>
      <c r="B27" s="344">
        <f>B15/B$35-0.96</f>
        <v>5589817.004948426</v>
      </c>
      <c r="C27" s="344">
        <f>C15/C$35-0.1</f>
        <v>6106219.9956937805</v>
      </c>
      <c r="D27" s="346">
        <f t="shared" si="4"/>
        <v>8.4569994384337832</v>
      </c>
      <c r="E27" s="344">
        <f>E15/C$35-0.21</f>
        <v>7273684.0005263165</v>
      </c>
      <c r="F27" s="344">
        <f t="shared" si="5"/>
        <v>16.050518619561412</v>
      </c>
      <c r="G27" s="344">
        <f>G15/G$36-0.07</f>
        <v>8229665.0017703352</v>
      </c>
      <c r="H27" s="344">
        <f t="shared" si="6"/>
        <v>11.616280869736153</v>
      </c>
      <c r="I27" s="357">
        <f>I15/I$36-0.57</f>
        <v>8149995.996012684</v>
      </c>
      <c r="J27" s="344">
        <f t="shared" si="7"/>
        <v>-0.97753429322699881</v>
      </c>
      <c r="K27" s="359">
        <f>K15/K$36-0.76</f>
        <v>8061927.997305166</v>
      </c>
      <c r="L27" s="344">
        <f>(K27-I27)/K27*100</f>
        <v>-1.0923937640841768</v>
      </c>
    </row>
    <row r="28" spans="1:12" ht="11.25" customHeight="1">
      <c r="A28" s="327" t="s">
        <v>0</v>
      </c>
      <c r="B28" s="344">
        <f>B16/B$35+0.46</f>
        <v>-39758.995295462453</v>
      </c>
      <c r="C28" s="344">
        <f>C16/C$35+0.13</f>
        <v>-74796.999186602872</v>
      </c>
      <c r="D28" s="346">
        <f t="shared" si="4"/>
        <v>46.844130476047475</v>
      </c>
      <c r="E28" s="344">
        <f>E16/C$35+0.78</f>
        <v>-111004.00468899522</v>
      </c>
      <c r="F28" s="344">
        <f t="shared" si="5"/>
        <v>32.617747083841799</v>
      </c>
      <c r="G28" s="344">
        <f>G16/G$36+0.82</f>
        <v>-58180.998181818184</v>
      </c>
      <c r="H28" s="344">
        <f t="shared" si="6"/>
        <v>-90.790822017358323</v>
      </c>
      <c r="I28" s="357">
        <f>I16/I$36+0.99</f>
        <v>-57689.996927954955</v>
      </c>
      <c r="J28" s="344">
        <f t="shared" si="7"/>
        <v>-0.85110292946696908</v>
      </c>
      <c r="K28" s="359">
        <f>K16/K$36+0.32</f>
        <v>-57659.996546813032</v>
      </c>
      <c r="L28" s="344">
        <f>(K28-I28)/K28*100</f>
        <v>-5.2029800448506996E-2</v>
      </c>
    </row>
    <row r="29" spans="1:12" ht="11.25" customHeight="1">
      <c r="A29" s="327" t="s">
        <v>12</v>
      </c>
      <c r="B29" s="344">
        <f>B17/B$35-0.44</f>
        <v>608762.00177272956</v>
      </c>
      <c r="C29" s="344">
        <f>C17/C$35-0.89</f>
        <v>179757.00473684209</v>
      </c>
      <c r="D29" s="346">
        <f t="shared" si="4"/>
        <v>-238.65829187793577</v>
      </c>
      <c r="E29" s="344">
        <f>E17/C$35-0.47</f>
        <v>222477.99889952154</v>
      </c>
      <c r="F29" s="344">
        <f t="shared" si="5"/>
        <v>19.202345568549305</v>
      </c>
      <c r="G29" s="344">
        <f>G17/G$36-0.91</f>
        <v>286001.00387559814</v>
      </c>
      <c r="H29" s="344">
        <f t="shared" si="6"/>
        <v>22.210762939736814</v>
      </c>
      <c r="I29" s="357">
        <f>I17/I$36-0.99</f>
        <v>57689.996927954955</v>
      </c>
      <c r="J29" s="344">
        <f t="shared" si="7"/>
        <v>-395.75492997991489</v>
      </c>
      <c r="K29" s="359">
        <f>K17/K$36-0.32</f>
        <v>57659.996546813032</v>
      </c>
      <c r="L29" s="344">
        <f>(K29-I29)/K29*100</f>
        <v>-5.2029800448506996E-2</v>
      </c>
    </row>
    <row r="30" spans="1:12" ht="11.25" customHeight="1">
      <c r="A30" s="327" t="s">
        <v>102</v>
      </c>
      <c r="B30" s="344">
        <f>B18/B$35</f>
        <v>0</v>
      </c>
      <c r="C30" s="344"/>
      <c r="D30" s="346"/>
      <c r="E30" s="336"/>
      <c r="F30" s="344"/>
      <c r="G30" s="362">
        <v>0</v>
      </c>
      <c r="H30" s="355"/>
      <c r="I30" s="336"/>
      <c r="J30" s="327"/>
      <c r="K30" s="359">
        <f>K18/K$36</f>
        <v>0</v>
      </c>
      <c r="L30" s="344"/>
    </row>
    <row r="31" spans="1:12" ht="11.25" customHeight="1">
      <c r="A31" s="334" t="s">
        <v>100</v>
      </c>
      <c r="B31" s="351">
        <f>B19/B$35+0.38</f>
        <v>-277292.001094379</v>
      </c>
      <c r="C31" s="351">
        <f>C19/C$35+0.72</f>
        <v>-651249.99770334933</v>
      </c>
      <c r="D31" s="349">
        <f t="shared" si="4"/>
        <v>57.421573578156362</v>
      </c>
      <c r="E31" s="351">
        <f>E19/C$35+0.78</f>
        <v>-642381.9951196172</v>
      </c>
      <c r="F31" s="351">
        <f t="shared" si="5"/>
        <v>-1.3804874126462447</v>
      </c>
      <c r="G31" s="351">
        <f>G19/G$36-0.82</f>
        <v>58180.998181818184</v>
      </c>
      <c r="H31" s="351">
        <f>(G31-E31)/G31*100</f>
        <v>1204.1096151567306</v>
      </c>
      <c r="I31" s="358">
        <f>I19/I$36-0.37</f>
        <v>113366.99796318768</v>
      </c>
      <c r="J31" s="351">
        <f>(I31-G31)/I31*100</f>
        <v>48.679069546579498</v>
      </c>
      <c r="K31" s="363">
        <f>K19/K$36-0.84</f>
        <v>166144.9961288108</v>
      </c>
      <c r="L31" s="351">
        <f>(K31-I31)/K31*100</f>
        <v>31.766227930635232</v>
      </c>
    </row>
    <row r="32" spans="1:12" ht="11.25" customHeight="1">
      <c r="A32" s="1" t="s">
        <v>440</v>
      </c>
    </row>
    <row r="34" spans="1:12" ht="11.25" customHeight="1" thickBot="1">
      <c r="A34" s="1" t="s">
        <v>257</v>
      </c>
      <c r="B34" s="58">
        <v>4.4600000000000001E-2</v>
      </c>
      <c r="C34" s="57">
        <v>5.8999999999999997E-2</v>
      </c>
      <c r="E34" s="57">
        <v>4.4999999999999998E-2</v>
      </c>
      <c r="G34" s="57">
        <v>4.4999999999999998E-2</v>
      </c>
      <c r="I34" s="57">
        <v>4.4999999999999998E-2</v>
      </c>
      <c r="K34" s="57">
        <v>4.4999999999999998E-2</v>
      </c>
      <c r="L34" s="57"/>
    </row>
    <row r="35" spans="1:12" ht="11.25" customHeight="1">
      <c r="A35" s="1" t="s">
        <v>255</v>
      </c>
      <c r="B35" s="60">
        <f>(1+C34)*(1+E34)</f>
        <v>1.1066549999999999</v>
      </c>
      <c r="C35" s="59">
        <f>(1+(E34))</f>
        <v>1.0449999999999999</v>
      </c>
      <c r="E35" s="61" t="s">
        <v>83</v>
      </c>
    </row>
    <row r="36" spans="1:12" ht="11.25" customHeight="1" thickBot="1">
      <c r="A36" s="1" t="s">
        <v>256</v>
      </c>
      <c r="E36" s="62" t="s">
        <v>85</v>
      </c>
      <c r="G36" s="59">
        <f>1+G34</f>
        <v>1.0449999999999999</v>
      </c>
      <c r="I36" s="1">
        <f>(1+G34)*(1+I34)</f>
        <v>1.0920249999999998</v>
      </c>
      <c r="K36" s="60">
        <f>(1+K34)*(1+I34)*(1+G34)</f>
        <v>1.1411661249999998</v>
      </c>
    </row>
    <row r="37" spans="1:12" ht="11.25" customHeight="1">
      <c r="A37" s="1" t="s">
        <v>258</v>
      </c>
    </row>
    <row r="40" spans="1:12" ht="27.75" customHeight="1">
      <c r="A40" s="545" t="s">
        <v>446</v>
      </c>
      <c r="B40" s="545"/>
      <c r="C40" s="545"/>
      <c r="D40" s="545"/>
      <c r="E40" s="545"/>
      <c r="F40" s="545"/>
      <c r="G40" s="545"/>
      <c r="H40" s="545"/>
      <c r="I40" s="545"/>
      <c r="J40" s="545"/>
      <c r="K40" s="545"/>
      <c r="L40" s="545"/>
    </row>
    <row r="41" spans="1:12" ht="11.25" customHeight="1">
      <c r="A41" s="364"/>
      <c r="B41" s="364"/>
      <c r="C41" s="364"/>
      <c r="D41" s="364"/>
      <c r="E41" s="364"/>
      <c r="F41" s="364"/>
      <c r="G41" s="364"/>
      <c r="H41" s="364"/>
      <c r="I41" s="364"/>
      <c r="J41" s="364"/>
      <c r="K41" s="364"/>
      <c r="L41" s="364"/>
    </row>
    <row r="42" spans="1:12" ht="11.25" customHeight="1">
      <c r="A42" s="185" t="s">
        <v>430</v>
      </c>
      <c r="B42" s="185"/>
      <c r="C42" s="365"/>
      <c r="D42" s="186"/>
      <c r="E42" s="183"/>
      <c r="F42" s="183"/>
      <c r="G42" s="183"/>
      <c r="H42" s="183"/>
      <c r="I42" s="183"/>
      <c r="J42" s="183"/>
      <c r="K42" s="183"/>
      <c r="L42" s="183"/>
    </row>
    <row r="43" spans="1:12" ht="11.25" customHeight="1">
      <c r="A43" s="185"/>
      <c r="B43" s="185"/>
      <c r="C43" s="365"/>
      <c r="D43" s="187"/>
      <c r="E43" s="183"/>
      <c r="F43" s="183"/>
      <c r="G43" s="183"/>
      <c r="H43" s="183"/>
      <c r="I43" s="183"/>
      <c r="J43" s="183"/>
      <c r="K43" s="183"/>
      <c r="L43" s="183"/>
    </row>
    <row r="44" spans="1:12" ht="11.25" customHeight="1">
      <c r="A44" s="185"/>
      <c r="B44" s="185"/>
      <c r="C44" s="365"/>
      <c r="D44" s="187"/>
      <c r="E44" s="183"/>
      <c r="F44" s="183"/>
      <c r="G44" s="183"/>
      <c r="H44" s="183"/>
      <c r="I44" s="183"/>
      <c r="J44" s="183"/>
      <c r="K44" s="183"/>
      <c r="L44" s="183"/>
    </row>
    <row r="45" spans="1:12" ht="11.25" customHeight="1">
      <c r="A45" s="185"/>
      <c r="B45" s="185"/>
      <c r="C45" s="365"/>
      <c r="D45" s="187"/>
      <c r="E45" s="183"/>
      <c r="F45" s="183"/>
      <c r="G45" s="183"/>
      <c r="H45" s="183"/>
      <c r="I45" s="183"/>
      <c r="J45" s="183"/>
      <c r="K45" s="183"/>
      <c r="L45" s="183"/>
    </row>
    <row r="46" spans="1:12" ht="11.25" customHeight="1">
      <c r="A46" s="187" t="s">
        <v>444</v>
      </c>
      <c r="B46" s="186"/>
      <c r="C46" s="365"/>
      <c r="D46" s="187"/>
      <c r="E46" s="183"/>
      <c r="F46" s="186" t="s">
        <v>431</v>
      </c>
      <c r="G46" s="183"/>
      <c r="H46" s="183"/>
      <c r="I46" s="183"/>
      <c r="J46" s="183"/>
      <c r="K46" s="183"/>
      <c r="L46" s="183"/>
    </row>
    <row r="47" spans="1:12" ht="11.25" customHeight="1">
      <c r="A47" s="185" t="s">
        <v>445</v>
      </c>
      <c r="B47" s="188"/>
      <c r="C47" s="366"/>
      <c r="D47" s="185"/>
      <c r="E47" s="183"/>
      <c r="F47" s="188" t="s">
        <v>429</v>
      </c>
      <c r="G47" s="183"/>
      <c r="H47" s="183"/>
      <c r="I47" s="183"/>
      <c r="J47" s="183"/>
      <c r="K47" s="183"/>
      <c r="L47" s="183"/>
    </row>
  </sheetData>
  <mergeCells count="9">
    <mergeCell ref="A40:L40"/>
    <mergeCell ref="B9:L9"/>
    <mergeCell ref="B21:L21"/>
    <mergeCell ref="A8:B8"/>
    <mergeCell ref="A2:L2"/>
    <mergeCell ref="A3:L3"/>
    <mergeCell ref="A4:L4"/>
    <mergeCell ref="A6:L6"/>
    <mergeCell ref="A5:L5"/>
  </mergeCells>
  <phoneticPr fontId="6" type="noConversion"/>
  <pageMargins left="0.78740157499999996" right="0.78740157499999996" top="0.984251969" bottom="0.984251969" header="0.49212598499999999" footer="0.49212598499999999"/>
  <pageSetup paperSize="9" scale="75" orientation="landscape" r:id="rId1"/>
  <headerFooter alignWithMargins="0">
    <oddHeader xml:space="preserve">&amp;LESTADO DO RIO GRANDE DO SUL
PREFEITURA MUNICIPAL DE BOA VISTA DO CADEADO
</oddHeader>
  </headerFooter>
  <drawing r:id="rId2"/>
</worksheet>
</file>

<file path=xl/worksheets/sheet9.xml><?xml version="1.0" encoding="utf-8"?>
<worksheet xmlns="http://schemas.openxmlformats.org/spreadsheetml/2006/main" xmlns:r="http://schemas.openxmlformats.org/officeDocument/2006/relationships">
  <sheetPr codeName="Plan22"/>
  <dimension ref="A3:M30"/>
  <sheetViews>
    <sheetView view="pageBreakPreview" zoomScale="60" zoomScaleNormal="100" workbookViewId="0">
      <selection activeCell="A2" sqref="A2:J2"/>
    </sheetView>
  </sheetViews>
  <sheetFormatPr defaultRowHeight="11.25" customHeight="1"/>
  <cols>
    <col min="1" max="1" width="33.5703125" style="106" customWidth="1"/>
    <col min="2" max="2" width="12.42578125" style="106" customWidth="1"/>
    <col min="3" max="3" width="9.140625" style="106" customWidth="1"/>
    <col min="4" max="4" width="14.85546875" style="106" customWidth="1"/>
    <col min="5" max="5" width="9.140625" style="106" customWidth="1"/>
    <col min="6" max="6" width="14.7109375" style="106" customWidth="1"/>
    <col min="7" max="7" width="9.85546875" style="106" customWidth="1"/>
    <col min="8" max="16384" width="9.140625" style="106"/>
  </cols>
  <sheetData>
    <row r="3" spans="1:13" ht="11.25" customHeight="1">
      <c r="A3" s="552" t="s">
        <v>81</v>
      </c>
      <c r="B3" s="553"/>
      <c r="C3" s="553"/>
      <c r="D3" s="553"/>
      <c r="E3" s="553"/>
      <c r="F3" s="553"/>
      <c r="G3" s="553"/>
      <c r="H3" s="553"/>
      <c r="I3" s="553"/>
    </row>
    <row r="4" spans="1:13" ht="11.25" customHeight="1">
      <c r="A4" s="552" t="s">
        <v>82</v>
      </c>
      <c r="B4" s="553"/>
      <c r="C4" s="553"/>
      <c r="D4" s="553"/>
      <c r="E4" s="553"/>
      <c r="F4" s="553"/>
      <c r="G4" s="553"/>
      <c r="H4" s="553"/>
      <c r="I4" s="553"/>
    </row>
    <row r="5" spans="1:13" ht="11.25" customHeight="1">
      <c r="A5" s="552" t="s">
        <v>252</v>
      </c>
      <c r="B5" s="553"/>
      <c r="C5" s="553"/>
      <c r="D5" s="553"/>
      <c r="E5" s="553"/>
      <c r="F5" s="553"/>
      <c r="G5" s="553"/>
      <c r="H5" s="553"/>
      <c r="I5" s="553"/>
      <c r="J5" s="367"/>
      <c r="K5" s="367"/>
      <c r="L5" s="367"/>
      <c r="M5" s="367"/>
    </row>
    <row r="6" spans="1:13" ht="14.25" customHeight="1">
      <c r="A6" s="553" t="s">
        <v>260</v>
      </c>
      <c r="B6" s="553"/>
      <c r="C6" s="553"/>
      <c r="D6" s="553"/>
      <c r="E6" s="553"/>
      <c r="F6" s="553"/>
      <c r="G6" s="553"/>
      <c r="H6" s="553"/>
      <c r="I6" s="553"/>
      <c r="J6" s="367"/>
      <c r="K6" s="367"/>
      <c r="L6" s="367"/>
      <c r="M6" s="367"/>
    </row>
    <row r="7" spans="1:13" ht="14.25" customHeight="1">
      <c r="A7" s="554">
        <v>2010</v>
      </c>
      <c r="B7" s="553"/>
      <c r="C7" s="553"/>
      <c r="D7" s="553"/>
      <c r="E7" s="553"/>
      <c r="F7" s="553"/>
      <c r="G7" s="553"/>
      <c r="H7" s="553"/>
      <c r="I7" s="553"/>
      <c r="J7" s="367"/>
      <c r="K7" s="367"/>
      <c r="L7" s="367"/>
      <c r="M7" s="367"/>
    </row>
    <row r="8" spans="1:13" ht="11.25" customHeight="1">
      <c r="A8" s="368"/>
      <c r="B8" s="368"/>
      <c r="C8" s="368"/>
      <c r="D8" s="368"/>
      <c r="E8" s="368"/>
      <c r="F8" s="368"/>
      <c r="G8" s="368"/>
    </row>
    <row r="9" spans="1:13" ht="11.25" customHeight="1">
      <c r="A9" s="555" t="s">
        <v>30</v>
      </c>
      <c r="B9" s="556"/>
      <c r="C9" s="369"/>
      <c r="D9" s="369"/>
      <c r="E9" s="369"/>
      <c r="F9" s="369"/>
      <c r="G9" s="370">
        <v>1</v>
      </c>
    </row>
    <row r="10" spans="1:13" ht="11.25" customHeight="1">
      <c r="A10" s="557" t="s">
        <v>104</v>
      </c>
      <c r="B10" s="559">
        <v>2008</v>
      </c>
      <c r="C10" s="565" t="s">
        <v>57</v>
      </c>
      <c r="D10" s="559">
        <v>2007</v>
      </c>
      <c r="E10" s="565" t="s">
        <v>57</v>
      </c>
      <c r="F10" s="559">
        <v>2006</v>
      </c>
      <c r="G10" s="561" t="s">
        <v>57</v>
      </c>
    </row>
    <row r="11" spans="1:13" s="265" customFormat="1" ht="11.25" customHeight="1">
      <c r="A11" s="558"/>
      <c r="B11" s="560"/>
      <c r="C11" s="560"/>
      <c r="D11" s="560"/>
      <c r="E11" s="560"/>
      <c r="F11" s="560"/>
      <c r="G11" s="562"/>
    </row>
    <row r="12" spans="1:13" ht="11.25" customHeight="1">
      <c r="A12" s="371" t="s">
        <v>105</v>
      </c>
      <c r="B12" s="324">
        <v>7085424</v>
      </c>
      <c r="C12" s="371">
        <v>100</v>
      </c>
      <c r="D12" s="378">
        <f>7070456.11-0.11</f>
        <v>7070456</v>
      </c>
      <c r="E12" s="371">
        <v>100</v>
      </c>
      <c r="F12" s="378">
        <f>5500731.99-0.99</f>
        <v>5500731</v>
      </c>
      <c r="G12" s="372">
        <v>100</v>
      </c>
    </row>
    <row r="13" spans="1:13" ht="11.25" customHeight="1">
      <c r="A13" s="371" t="s">
        <v>106</v>
      </c>
      <c r="B13" s="371"/>
      <c r="C13" s="371"/>
      <c r="D13" s="371"/>
      <c r="E13" s="371"/>
      <c r="F13" s="371"/>
      <c r="G13" s="372"/>
    </row>
    <row r="14" spans="1:13" ht="11.25" customHeight="1">
      <c r="A14" s="373" t="s">
        <v>107</v>
      </c>
      <c r="B14" s="373"/>
      <c r="C14" s="373"/>
      <c r="D14" s="373"/>
      <c r="E14" s="373"/>
      <c r="F14" s="373"/>
      <c r="G14" s="374"/>
    </row>
    <row r="15" spans="1:13" ht="11.25" customHeight="1">
      <c r="A15" s="375" t="s">
        <v>76</v>
      </c>
      <c r="B15" s="380">
        <v>7085424</v>
      </c>
      <c r="C15" s="375"/>
      <c r="D15" s="379">
        <f>D12</f>
        <v>7070456</v>
      </c>
      <c r="E15" s="375"/>
      <c r="F15" s="379">
        <f>F12</f>
        <v>5500731</v>
      </c>
      <c r="G15" s="376"/>
    </row>
    <row r="16" spans="1:13" s="235" customFormat="1" ht="11.25" customHeight="1">
      <c r="A16" s="377"/>
      <c r="B16" s="377"/>
      <c r="C16" s="377"/>
      <c r="D16" s="377"/>
      <c r="E16" s="377"/>
      <c r="F16" s="377"/>
      <c r="G16" s="377"/>
    </row>
    <row r="17" spans="1:8" ht="11.25" customHeight="1">
      <c r="A17" s="564" t="s">
        <v>447</v>
      </c>
      <c r="B17" s="564"/>
      <c r="C17" s="564"/>
      <c r="D17" s="564"/>
      <c r="E17" s="564"/>
      <c r="F17" s="564"/>
      <c r="G17" s="564"/>
    </row>
    <row r="19" spans="1:8" ht="39.75" customHeight="1">
      <c r="A19" s="563" t="s">
        <v>448</v>
      </c>
      <c r="B19" s="563"/>
      <c r="C19" s="563"/>
      <c r="D19" s="563"/>
      <c r="E19" s="563"/>
      <c r="F19" s="563"/>
      <c r="G19" s="563"/>
    </row>
    <row r="21" spans="1:8" ht="11.25" customHeight="1">
      <c r="A21" s="364"/>
      <c r="B21" s="364"/>
      <c r="C21" s="364"/>
      <c r="D21" s="364"/>
      <c r="E21" s="364"/>
      <c r="F21" s="364"/>
      <c r="G21" s="364"/>
      <c r="H21" s="364"/>
    </row>
    <row r="22" spans="1:8" ht="11.25" customHeight="1">
      <c r="A22" s="185" t="s">
        <v>430</v>
      </c>
      <c r="B22" s="185"/>
      <c r="C22" s="365"/>
      <c r="D22" s="186"/>
      <c r="E22" s="183"/>
      <c r="F22" s="183"/>
      <c r="G22" s="183"/>
      <c r="H22" s="183"/>
    </row>
    <row r="23" spans="1:8" ht="11.25" customHeight="1">
      <c r="A23" s="185"/>
      <c r="B23" s="185"/>
      <c r="C23" s="365"/>
      <c r="D23" s="187"/>
      <c r="E23" s="183"/>
      <c r="F23" s="183"/>
      <c r="G23" s="183"/>
      <c r="H23" s="183"/>
    </row>
    <row r="24" spans="1:8" ht="11.25" customHeight="1">
      <c r="A24" s="185"/>
      <c r="B24" s="185"/>
      <c r="C24" s="365"/>
      <c r="D24" s="187"/>
      <c r="E24" s="183"/>
      <c r="F24" s="183"/>
      <c r="G24" s="183"/>
      <c r="H24" s="183"/>
    </row>
    <row r="25" spans="1:8" ht="11.25" customHeight="1">
      <c r="A25" s="185"/>
      <c r="B25" s="185"/>
      <c r="C25" s="365"/>
      <c r="D25" s="187"/>
      <c r="E25" s="183"/>
      <c r="F25" s="183"/>
      <c r="G25" s="183"/>
      <c r="H25" s="183"/>
    </row>
    <row r="26" spans="1:8" ht="11.25" customHeight="1">
      <c r="A26" s="187" t="s">
        <v>444</v>
      </c>
      <c r="B26" s="186"/>
      <c r="C26" s="365"/>
      <c r="D26" s="187"/>
      <c r="E26" s="183"/>
      <c r="F26" s="186" t="s">
        <v>431</v>
      </c>
      <c r="G26" s="183"/>
      <c r="H26" s="183"/>
    </row>
    <row r="27" spans="1:8" ht="11.25" customHeight="1">
      <c r="A27" s="185" t="s">
        <v>445</v>
      </c>
      <c r="B27" s="188"/>
      <c r="C27" s="366"/>
      <c r="D27" s="185"/>
      <c r="E27" s="183"/>
      <c r="F27" s="188" t="s">
        <v>429</v>
      </c>
      <c r="G27" s="183"/>
      <c r="H27" s="183"/>
    </row>
    <row r="28" spans="1:8" ht="11.25" customHeight="1">
      <c r="A28" s="1"/>
      <c r="B28" s="1"/>
      <c r="C28" s="1"/>
      <c r="D28" s="1"/>
      <c r="E28" s="1"/>
      <c r="F28" s="1"/>
      <c r="G28" s="1"/>
      <c r="H28" s="1"/>
    </row>
    <row r="29" spans="1:8" ht="11.25" customHeight="1">
      <c r="A29" s="1"/>
      <c r="B29" s="1"/>
      <c r="C29" s="1"/>
      <c r="D29" s="1"/>
      <c r="E29" s="1"/>
      <c r="F29" s="1"/>
      <c r="G29" s="1"/>
      <c r="H29" s="1"/>
    </row>
    <row r="30" spans="1:8" ht="11.25" customHeight="1">
      <c r="A30" s="1"/>
      <c r="B30" s="1"/>
      <c r="C30" s="1"/>
      <c r="D30" s="1"/>
      <c r="E30" s="1"/>
      <c r="F30" s="1"/>
      <c r="G30" s="1"/>
      <c r="H30" s="1"/>
    </row>
  </sheetData>
  <mergeCells count="15">
    <mergeCell ref="A7:I7"/>
    <mergeCell ref="A3:I3"/>
    <mergeCell ref="A4:I4"/>
    <mergeCell ref="A5:I5"/>
    <mergeCell ref="A6:I6"/>
    <mergeCell ref="A9:B9"/>
    <mergeCell ref="A10:A11"/>
    <mergeCell ref="F10:F11"/>
    <mergeCell ref="G10:G11"/>
    <mergeCell ref="A19:G19"/>
    <mergeCell ref="A17:G17"/>
    <mergeCell ref="B10:B11"/>
    <mergeCell ref="C10:C11"/>
    <mergeCell ref="D10:D11"/>
    <mergeCell ref="E10:E11"/>
  </mergeCells>
  <phoneticPr fontId="6" type="noConversion"/>
  <pageMargins left="1.29" right="0.78740157499999996" top="0.984251969" bottom="0.984251969" header="0.49212598499999999" footer="0.49212598499999999"/>
  <pageSetup paperSize="9" orientation="landscape"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17</vt:i4>
      </vt:variant>
    </vt:vector>
  </HeadingPairs>
  <TitlesOfParts>
    <vt:vector size="17" baseType="lpstr">
      <vt:lpstr>Anexo I(a)- Receita</vt:lpstr>
      <vt:lpstr>Anexo I(b)Metodologia Receita</vt:lpstr>
      <vt:lpstr>Anexo II-RCL</vt:lpstr>
      <vt:lpstr>Anexo III-(a)Metas</vt:lpstr>
      <vt:lpstr>Anexo III-(b)Met.</vt:lpstr>
      <vt:lpstr>Anexo III-(c) Res.Nominal</vt:lpstr>
      <vt:lpstr>Anexo III-(d) AA</vt:lpstr>
      <vt:lpstr>Anexo III- (e)-3exer</vt:lpstr>
      <vt:lpstr>Anexo III-(f)EPL</vt:lpstr>
      <vt:lpstr>Anexo III-(g)OAA</vt:lpstr>
      <vt:lpstr>Anexo IV- (h)ARPPS</vt:lpstr>
      <vt:lpstr>Anexo III-(h)ECRR</vt:lpstr>
      <vt:lpstr>Anexo III-(i) DOCC</vt:lpstr>
      <vt:lpstr>Anexo IV - ARF</vt:lpstr>
      <vt:lpstr>Anexo V-RPA</vt:lpstr>
      <vt:lpstr>Anexo VI -Pessoal</vt:lpstr>
      <vt:lpstr>Anexo IV ARF</vt:lpstr>
    </vt:vector>
  </TitlesOfParts>
  <Company>Ministério da Fazenda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 RREO</dc:title>
  <dc:creator>GEINC/CCONT/STN</dc:creator>
  <cp:lastModifiedBy>Pref Mun de Boa Vista do Cadeado</cp:lastModifiedBy>
  <cp:lastPrinted>2010-08-12T14:55:40Z</cp:lastPrinted>
  <dcterms:created xsi:type="dcterms:W3CDTF">2004-08-09T19:29:24Z</dcterms:created>
  <dcterms:modified xsi:type="dcterms:W3CDTF">2010-08-12T16:21:06Z</dcterms:modified>
</cp:coreProperties>
</file>